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3320" windowHeight="7680" tabRatio="747" activeTab="0"/>
  </bookViews>
  <sheets>
    <sheet name="Eisodos" sheetId="1" r:id="rId1"/>
    <sheet name="MORIA_me_tetramnva" sheetId="2" r:id="rId2"/>
    <sheet name="MORIA_me_proforiko" sheetId="3" r:id="rId3"/>
    <sheet name="MORIA_me_bathmo_prosvasns" sheetId="4" r:id="rId4"/>
  </sheets>
  <definedNames>
    <definedName name="_xlnm.Print_Area" localSheetId="3">'MORIA_me_bathmo_prosvasns'!$B$1:$M$31</definedName>
    <definedName name="_xlnm.Print_Area" localSheetId="2">'MORIA_me_proforiko'!$B$1:$M$31</definedName>
    <definedName name="_xlnm.Print_Area" localSheetId="1">'MORIA_me_tetramnva'!$B$1:$O$31</definedName>
    <definedName name="Γενικής" localSheetId="3">'MORIA_me_bathmo_prosvasns'!$I$99:$I$102</definedName>
    <definedName name="Γενικής" localSheetId="2">'MORIA_me_proforiko'!$I$99:$I$102</definedName>
    <definedName name="Γενικής">'MORIA_me_tetramnva'!$K$99:$K$102</definedName>
    <definedName name="Κατεύθυνση" localSheetId="3">'MORIA_me_bathmo_prosvasns'!$K$94:$K$97</definedName>
    <definedName name="Κατεύθυνση" localSheetId="2">'MORIA_me_proforiko'!$K$94:$K$97</definedName>
    <definedName name="Κατεύθυνση">'MORIA_me_tetramnva'!$M$94:$M$97</definedName>
  </definedNames>
  <calcPr fullCalcOnLoad="1"/>
</workbook>
</file>

<file path=xl/sharedStrings.xml><?xml version="1.0" encoding="utf-8"?>
<sst xmlns="http://schemas.openxmlformats.org/spreadsheetml/2006/main" count="263" uniqueCount="80">
  <si>
    <t>ΣΥΝΟΛΙΚΟΣ ΑΡΙΘΜΟΣ ΜΟΡΙΩΝ</t>
  </si>
  <si>
    <t>ΟΝΟΜΑΤΕΠΩΝΥΜΟ:</t>
  </si>
  <si>
    <t>ΜΑΘΗΜΑΤΑ  Γ΄ ΛΥΚΕΙΟΥ</t>
  </si>
  <si>
    <t>ΠΡΟΦΟΡΙΚΟΣ ΒΑΘΜΟΣ</t>
  </si>
  <si>
    <t xml:space="preserve">1ο ΤΕΤΡ. </t>
  </si>
  <si>
    <t xml:space="preserve">2ο ΤΕΤΡ. </t>
  </si>
  <si>
    <t>Μ. ΟΡΟΣ</t>
  </si>
  <si>
    <t>Π.Β.Μ.</t>
  </si>
  <si>
    <t>ΓΡΑΠΤΟΣ ΒΑΘΜΟΣ</t>
  </si>
  <si>
    <t>ΒΑΘΜΟΣ ΠΡΟΣΒ.</t>
  </si>
  <si>
    <t>ΚΑΤ/ΝΣΗΣ</t>
  </si>
  <si>
    <t>ΕΠΙΛΟΓΗΣ</t>
  </si>
  <si>
    <t>ΒΑΘΜΟΣ ΠΡΟΣΒΑΣΗΣ Γ΄ ΛΥΚΕΙΟΥ</t>
  </si>
  <si>
    <t>ΟΔΗΓΙΕΣ</t>
  </si>
  <si>
    <t>ΓΕΝΙΚΟΣ ΒΑΘΜΟΣ ΠΡΟΣΒΑΣΗΣ</t>
  </si>
  <si>
    <t>Βαθμός Πρόσβασης Β΄ Λυκείου</t>
  </si>
  <si>
    <t>Βαθμός Πρόσβασης Γ΄ Λυκείου</t>
  </si>
  <si>
    <t>Μαθματικά &amp; Στοιχεία Στατιστικής</t>
  </si>
  <si>
    <t>Φυσική</t>
  </si>
  <si>
    <t>Βιολογία</t>
  </si>
  <si>
    <t>Μαθηματκά</t>
  </si>
  <si>
    <t>Αρχές Οργ. &amp; Διοίκ. Επιχ/σεων</t>
  </si>
  <si>
    <t>Νεοελληνική Γλώσσα</t>
  </si>
  <si>
    <t>Ιστορία</t>
  </si>
  <si>
    <t>Ανάπτυξη Εφαρμ. σε Προγρ. Περιβάλλον</t>
  </si>
  <si>
    <t xml:space="preserve">MΟΡΙΑ </t>
  </si>
  <si>
    <t>Χημεία</t>
  </si>
  <si>
    <t>Χημεία Κατεύθυνσης</t>
  </si>
  <si>
    <t>Χημεία-Βιοχημεία</t>
  </si>
  <si>
    <t>Ηλεκτρολογία</t>
  </si>
  <si>
    <t>Αρχαία Ελληνικά</t>
  </si>
  <si>
    <t>Νεοελληνική Λογοτεχνία</t>
  </si>
  <si>
    <t>Λατινικά</t>
  </si>
  <si>
    <t>Κατεύθυνση</t>
  </si>
  <si>
    <t>ΘΕΩΡΗΤΙΚΗ</t>
  </si>
  <si>
    <t>ΘΕΤΙΚΗ</t>
  </si>
  <si>
    <t>ΤΕΧΝΟΛΟΓΙΚΗ (ΠΛ.&amp; ΥΠ)</t>
  </si>
  <si>
    <t>ΤΕΧΝΟΛΟΓΙΚΗ (ΤΕΧ.&amp; ΠΑΡ)</t>
  </si>
  <si>
    <t>Επιλέξτε    ΚΑΤΕΥΘΥΝΣΗ:</t>
  </si>
  <si>
    <t>Αρχαία Ελληνικά Κατεύθυνσης</t>
  </si>
  <si>
    <t>Ιστορία Κατεύθυνσης</t>
  </si>
  <si>
    <t>Μαθηματκά Κατεύθυνσης</t>
  </si>
  <si>
    <t>Φυσική Κατεύθυνσης</t>
  </si>
  <si>
    <t>Βιολογία Κατεύθυνσης</t>
  </si>
  <si>
    <t>Χημεία-Βιοχημεία Κατεύθυνσης</t>
  </si>
  <si>
    <t>Μαθήματα Κατεύθυνσης</t>
  </si>
  <si>
    <t>Νεοελληνική Γλώσσα Γενικής Παιδείας</t>
  </si>
  <si>
    <t>Ιστορία Γενικής Παιδείας</t>
  </si>
  <si>
    <t>Μαθματικά &amp; Στοιχεία Στατιστικής Γενικής Παιδείας</t>
  </si>
  <si>
    <t>Γενικός Βαθμός Πρόσβασης</t>
  </si>
  <si>
    <r>
      <t xml:space="preserve">5ο  </t>
    </r>
    <r>
      <rPr>
        <b/>
        <sz val="10"/>
        <rFont val="Arial Narrow"/>
        <family val="2"/>
      </rPr>
      <t>ΕΠΙΣΤΗΜΟΝΙΚΟ ΠΕΔΙΟ (ΕΠ. ΟΙΚΟΝΟΜΙΑΣ  &amp; ΔΙΟΙΚΗΣΗΣ)</t>
    </r>
  </si>
  <si>
    <r>
      <t xml:space="preserve">1ο  </t>
    </r>
    <r>
      <rPr>
        <b/>
        <sz val="10"/>
        <rFont val="Arial Narrow"/>
        <family val="2"/>
      </rPr>
      <t>ΕΠΙΣΤΗΜΟΝΙΚΟ ΠΕΔΙΟ (ΑΝΘ. ΝΟΜ. ΚΟΙΝ. ΕΠ)</t>
    </r>
  </si>
  <si>
    <r>
      <t>2ο</t>
    </r>
    <r>
      <rPr>
        <b/>
        <sz val="10"/>
        <rFont val="Arial Narrow"/>
        <family val="2"/>
      </rPr>
      <t xml:space="preserve">  ΕΠΙΣΤΗΜΟΝΙΚΟ ΠΕΔΙΟ ΠΕΔΙΟ (ΘΕΤΙΚΕΣ  ΕΠ)</t>
    </r>
  </si>
  <si>
    <r>
      <t>3ο</t>
    </r>
    <r>
      <rPr>
        <b/>
        <sz val="10"/>
        <rFont val="Arial Narrow"/>
        <family val="2"/>
      </rPr>
      <t xml:space="preserve">   ΕΠΙΣΤΗΜΟΝΙΚΟ ΠΕΔΙΟ (ΕΠΙΣΤ. ΥΓΕΙΑΣ)</t>
    </r>
  </si>
  <si>
    <r>
      <t xml:space="preserve">4ο  </t>
    </r>
    <r>
      <rPr>
        <b/>
        <sz val="10"/>
        <rFont val="Arial Narrow"/>
        <family val="2"/>
      </rPr>
      <t>ΕΠΙΣΤΗΜΟΝΙΚΟ ΠΕΔΙΟ (ΤΕΧΝΟΛΟΓΙΚΕΣ ΕΠ)</t>
    </r>
  </si>
  <si>
    <t>ΑΟΘ</t>
  </si>
  <si>
    <t>ΠΡΟΦΟΡΙΚΟΣ
ΒΑΘΜΟΣ</t>
  </si>
  <si>
    <t>ΜΕΤΑ ΤΗΝ
ΠΡΟΣΑΡΜΟΓΗ</t>
  </si>
  <si>
    <r>
      <t xml:space="preserve">©  </t>
    </r>
    <r>
      <rPr>
        <b/>
        <sz val="10"/>
        <color indexed="9"/>
        <rFont val="Arial"/>
        <family val="2"/>
      </rPr>
      <t>ΓΚΙΩΣΗΣ ΔΗΜΗΤΡΙΟΣ - ΦΥΣΙΚΟΣ,  3ο ΕΛ ΓΙΑΝΝΙΤΣΩΝ</t>
    </r>
  </si>
  <si>
    <t>3ο ΕΛ ΓΙΑΝΝΙΤΣΩΝ 
"ΑΙΚΑΤΕΡΙΝΗ ΒΑΡΕΛΑ"
ΚΑΛΗ ΕΠΙΤΥΧΙΑ</t>
  </si>
  <si>
    <t>Τι θέλετε να κάνετε;</t>
  </si>
  <si>
    <t>Για να δείτε όλο το έγγραφο χρησιμοποιήστε προβολή πλήρους οθόνης
ή μεγαλώστε την ανάλυση της οθόνης σας</t>
  </si>
  <si>
    <t>ΥΠΟΛΟΓΙΣΜΟΣ ΜΟΡΙΩΝ ΕΤΟΥΣ 2006</t>
  </si>
  <si>
    <t>Βιολογία Γενικής Παιδείας</t>
  </si>
  <si>
    <t>Φυσική Γενικής Παιδείας</t>
  </si>
  <si>
    <t>ΥΠΟΧΡ. ΓΠ</t>
  </si>
  <si>
    <t>ΕΛΕΥΘ.ΕΠΙΛ</t>
  </si>
  <si>
    <t>ΑΠΟΤΕΛΕΣΜΑ</t>
  </si>
  <si>
    <t>ΠΕΔΙΑ</t>
  </si>
  <si>
    <t>ΜΟΝΑΔΕΣ</t>
  </si>
  <si>
    <t>1ο ΕΠ. ΠΕΔΙΟ</t>
  </si>
  <si>
    <t>2ο ΕΠ. ΠΕΔΙΟ</t>
  </si>
  <si>
    <t>3ο ΕΠ. ΠΕΔΙΟ</t>
  </si>
  <si>
    <t>4ο ΕΠ. ΠΕΔΙΟ</t>
  </si>
  <si>
    <t>5ο ΕΠ. ΠΕΔΙΟ</t>
  </si>
  <si>
    <t xml:space="preserve">  Επιστ. Πεδίο</t>
  </si>
  <si>
    <t>ΚΑΤΗΓΟΡΙΑ
ΜΑΘΗΜΑΤΩΝ</t>
  </si>
  <si>
    <r>
      <t xml:space="preserve"> Πριν ξεκινήσετε να βάζετε βαθμούς 
-</t>
    </r>
    <r>
      <rPr>
        <b/>
        <sz val="10"/>
        <rFont val="Arial Narrow"/>
        <family val="2"/>
      </rPr>
      <t>Διαλέξετε</t>
    </r>
    <r>
      <rPr>
        <sz val="10"/>
        <rFont val="Arial Narrow"/>
        <family val="2"/>
      </rPr>
      <t xml:space="preserve"> την</t>
    </r>
    <r>
      <rPr>
        <b/>
        <sz val="10"/>
        <rFont val="Arial Narrow"/>
        <family val="2"/>
      </rPr>
      <t xml:space="preserve"> κατεύθυνσή</t>
    </r>
    <r>
      <rPr>
        <sz val="10"/>
        <rFont val="Arial Narrow"/>
        <family val="2"/>
      </rPr>
      <t xml:space="preserve"> σας
-</t>
    </r>
    <r>
      <rPr>
        <b/>
        <sz val="10"/>
        <rFont val="Arial Narrow"/>
        <family val="2"/>
      </rPr>
      <t xml:space="preserve">Διαλέξετε </t>
    </r>
    <r>
      <rPr>
        <sz val="10"/>
        <rFont val="Arial Narrow"/>
        <family val="2"/>
      </rPr>
      <t xml:space="preserve">το </t>
    </r>
    <r>
      <rPr>
        <b/>
        <sz val="10"/>
        <rFont val="Arial Narrow"/>
        <family val="2"/>
      </rPr>
      <t>μάθημα Γενικής Παιδείας</t>
    </r>
    <r>
      <rPr>
        <sz val="10"/>
        <rFont val="Arial Narrow"/>
        <family val="2"/>
      </rPr>
      <t xml:space="preserve"> (ελεύθερη επιλογή) στο οποίο εξεταστήκατε πανελλαδικά
</t>
    </r>
    <r>
      <rPr>
        <b/>
        <sz val="10"/>
        <rFont val="Arial Narrow"/>
        <family val="2"/>
      </rPr>
      <t xml:space="preserve"> Συμπληρώσετε:</t>
    </r>
    <r>
      <rPr>
        <sz val="10"/>
        <rFont val="Arial Narrow"/>
        <family val="2"/>
      </rPr>
      <t xml:space="preserve"> 
-Το ονοματεπώνυμο του μαθητή
-Τους βαθμούς των  γραπτών σας 
-Το βαθμό πρόσβασης της Β΄ Λυκείου (αν είναι μεγαλύτερος από αυτόν της Γ΄ και αν υπάρχει)  και 
-</t>
    </r>
    <r>
      <rPr>
        <b/>
        <sz val="10"/>
        <rFont val="Arial Narrow"/>
        <family val="2"/>
      </rPr>
      <t>Τσεκάρετε</t>
    </r>
    <r>
      <rPr>
        <sz val="10"/>
        <rFont val="Arial Narrow"/>
        <family val="2"/>
      </rPr>
      <t xml:space="preserve"> το μάθημα "Αρχές Οικονομικής Θεωρίας", αν εξεταστήκατε σε πανελλαδικό επίπεδο</t>
    </r>
  </si>
  <si>
    <r>
      <t xml:space="preserve"> Πριν ξεκινήσετε να βάζετε βαθμούς 
-</t>
    </r>
    <r>
      <rPr>
        <b/>
        <sz val="10"/>
        <rFont val="Arial Narrow"/>
        <family val="2"/>
      </rPr>
      <t>Επιλέξτε</t>
    </r>
    <r>
      <rPr>
        <sz val="10"/>
        <rFont val="Arial Narrow"/>
        <family val="2"/>
      </rPr>
      <t xml:space="preserve"> την</t>
    </r>
    <r>
      <rPr>
        <b/>
        <sz val="10"/>
        <rFont val="Arial Narrow"/>
        <family val="2"/>
      </rPr>
      <t xml:space="preserve"> κατεύθυνσή</t>
    </r>
    <r>
      <rPr>
        <sz val="10"/>
        <rFont val="Arial Narrow"/>
        <family val="2"/>
      </rPr>
      <t xml:space="preserve"> σας
-</t>
    </r>
    <r>
      <rPr>
        <b/>
        <sz val="10"/>
        <rFont val="Arial Narrow"/>
        <family val="2"/>
      </rPr>
      <t xml:space="preserve">Επιλέξτε </t>
    </r>
    <r>
      <rPr>
        <sz val="10"/>
        <rFont val="Arial Narrow"/>
        <family val="2"/>
      </rPr>
      <t xml:space="preserve">το </t>
    </r>
    <r>
      <rPr>
        <b/>
        <sz val="10"/>
        <rFont val="Arial Narrow"/>
        <family val="2"/>
      </rPr>
      <t>μάθημα Γενικής Παιδείας</t>
    </r>
    <r>
      <rPr>
        <sz val="10"/>
        <rFont val="Arial Narrow"/>
        <family val="2"/>
      </rPr>
      <t xml:space="preserve"> (ελεύθερη επιλογή) στο οποίο εξεταστήκατε πανελλαδικά
</t>
    </r>
    <r>
      <rPr>
        <b/>
        <sz val="10"/>
        <rFont val="Arial Narrow"/>
        <family val="2"/>
      </rPr>
      <t xml:space="preserve"> Συμπληρώσετε:</t>
    </r>
    <r>
      <rPr>
        <sz val="10"/>
        <rFont val="Arial Narrow"/>
        <family val="2"/>
      </rPr>
      <t xml:space="preserve"> 
-Το ονοματεπώνυμο του μαθητή
-Τον προφορικό βαθμό του κάθε μαθήματος (μέσος όρος των δύο τετραμήνων) χωρίς την προσαρμογή του  
-Τους βαθμούς των  γραπτών σας 
-Το βαθμό πρόσβασης της Β΄ Λυκείου (αν είναι μεγαλύτερος από αυτόν της Γ΄ και αν υπάρχει)  και 
-</t>
    </r>
    <r>
      <rPr>
        <b/>
        <sz val="10"/>
        <rFont val="Arial Narrow"/>
        <family val="2"/>
      </rPr>
      <t>Τσεκάρετε</t>
    </r>
    <r>
      <rPr>
        <sz val="10"/>
        <rFont val="Arial Narrow"/>
        <family val="2"/>
      </rPr>
      <t xml:space="preserve"> το μάθημα "Αρχές Οικονομικής Θεωρίας", αν εξεταστήκατε σε πανελλαδικό επίπεδο</t>
    </r>
  </si>
  <si>
    <r>
      <t xml:space="preserve"> Πριν ξεκινήσετε να βάζετε βαθμούς 
</t>
    </r>
    <r>
      <rPr>
        <b/>
        <sz val="10"/>
        <rFont val="Arial Narrow"/>
        <family val="2"/>
      </rPr>
      <t>-Επιλέξτε</t>
    </r>
    <r>
      <rPr>
        <sz val="10"/>
        <rFont val="Arial Narrow"/>
        <family val="2"/>
      </rPr>
      <t xml:space="preserve"> την </t>
    </r>
    <r>
      <rPr>
        <b/>
        <sz val="10"/>
        <rFont val="Arial Narrow"/>
        <family val="2"/>
      </rPr>
      <t xml:space="preserve">κατεύθυνσή </t>
    </r>
    <r>
      <rPr>
        <sz val="10"/>
        <rFont val="Arial Narrow"/>
        <family val="2"/>
      </rPr>
      <t>σας
-</t>
    </r>
    <r>
      <rPr>
        <b/>
        <sz val="10"/>
        <rFont val="Arial Narrow"/>
        <family val="2"/>
      </rPr>
      <t>Επιλέξτε</t>
    </r>
    <r>
      <rPr>
        <sz val="10"/>
        <rFont val="Arial Narrow"/>
        <family val="2"/>
      </rPr>
      <t xml:space="preserve"> το </t>
    </r>
    <r>
      <rPr>
        <b/>
        <sz val="10"/>
        <rFont val="Arial Narrow"/>
        <family val="2"/>
      </rPr>
      <t>μάθημα Γενικής Παιδείας</t>
    </r>
    <r>
      <rPr>
        <sz val="10"/>
        <rFont val="Arial Narrow"/>
        <family val="2"/>
      </rPr>
      <t xml:space="preserve"> (ελεύθερη επιλογή) στο οποίο εξεταστήκατε πανελλαδικά
 </t>
    </r>
    <r>
      <rPr>
        <b/>
        <sz val="10"/>
        <rFont val="Arial Narrow"/>
        <family val="2"/>
      </rPr>
      <t>Συμπληρώσετε:</t>
    </r>
    <r>
      <rPr>
        <sz val="10"/>
        <rFont val="Arial Narrow"/>
        <family val="2"/>
      </rPr>
      <t xml:space="preserve"> 
-Το ονοματεπώνυμο του μαθητή
-Τους προφορικούς βαθμούς των δύο τετραμήνων  
-Τους βαθμούς των  γραπτών σας 
-Το βαθμό πρόσβασης της Β΄ Λυκείου (αν είναι μεγαλύτερος από αυτόν της Γ΄ και αν υπάρχει)  και 
-</t>
    </r>
    <r>
      <rPr>
        <b/>
        <sz val="10"/>
        <rFont val="Arial Narrow"/>
        <family val="2"/>
      </rPr>
      <t>Τσεκάρετε</t>
    </r>
    <r>
      <rPr>
        <sz val="10"/>
        <rFont val="Arial Narrow"/>
        <family val="2"/>
      </rPr>
      <t xml:space="preserve"> το μάθημα "Αρχές Οικονομικής Θεωρίας", αν εξεταστήκατε σε πανελλαδικό επίπεδο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</si>
</sst>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\,###"/>
    <numFmt numFmtId="173" formatCode="#0\,###"/>
    <numFmt numFmtId="174" formatCode="\,###"/>
    <numFmt numFmtId="175" formatCode="###"/>
    <numFmt numFmtId="176" formatCode="dd/m/yyyy"/>
  </numFmts>
  <fonts count="2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6"/>
      <name val="Arial Narrow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0"/>
    </font>
    <font>
      <b/>
      <sz val="12"/>
      <color indexed="13"/>
      <name val="Arial"/>
      <family val="0"/>
    </font>
    <font>
      <b/>
      <sz val="18"/>
      <name val="Arial"/>
      <family val="2"/>
    </font>
    <font>
      <b/>
      <u val="single"/>
      <sz val="36"/>
      <color indexed="13"/>
      <name val="Arial"/>
      <family val="0"/>
    </font>
    <font>
      <b/>
      <sz val="12"/>
      <color indexed="15"/>
      <name val="Arial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"/>
      <family val="0"/>
    </font>
    <font>
      <u val="single"/>
      <sz val="12"/>
      <name val="Arial Narrow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1"/>
      </top>
      <bottom style="dotted">
        <color indexed="21"/>
      </bottom>
    </border>
    <border>
      <left>
        <color indexed="63"/>
      </left>
      <right style="thin"/>
      <top style="thin">
        <color indexed="21"/>
      </top>
      <bottom style="dotted">
        <color indexed="21"/>
      </bottom>
    </border>
    <border>
      <left style="thin"/>
      <right style="thin"/>
      <top>
        <color indexed="63"/>
      </top>
      <bottom style="dotted">
        <color indexed="21"/>
      </bottom>
    </border>
    <border>
      <left style="thin"/>
      <right>
        <color indexed="63"/>
      </right>
      <top style="dotted">
        <color indexed="21"/>
      </top>
      <bottom style="dotted">
        <color indexed="21"/>
      </bottom>
    </border>
    <border>
      <left>
        <color indexed="63"/>
      </left>
      <right style="thin"/>
      <top style="dotted">
        <color indexed="21"/>
      </top>
      <bottom style="dotted">
        <color indexed="2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>
        <color indexed="21"/>
      </top>
      <bottom style="dotted">
        <color indexed="21"/>
      </bottom>
    </border>
    <border>
      <left style="thin"/>
      <right>
        <color indexed="63"/>
      </right>
      <top style="dotted">
        <color indexed="21"/>
      </top>
      <bottom style="thin"/>
    </border>
    <border>
      <left>
        <color indexed="63"/>
      </left>
      <right style="thin"/>
      <top style="dotted">
        <color indexed="21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>
        <color indexed="21"/>
      </bottom>
    </border>
    <border>
      <left>
        <color indexed="63"/>
      </left>
      <right style="thin"/>
      <top>
        <color indexed="63"/>
      </top>
      <bottom style="dotted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2" fillId="0" borderId="4" xfId="0" applyFont="1" applyBorder="1" applyAlignment="1" applyProtection="1">
      <alignment horizontal="right" vertical="center"/>
      <protection/>
    </xf>
    <xf numFmtId="9" fontId="2" fillId="0" borderId="5" xfId="0" applyNumberFormat="1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7" xfId="0" applyFont="1" applyBorder="1" applyAlignment="1" applyProtection="1">
      <alignment horizontal="right" vertical="center"/>
      <protection/>
    </xf>
    <xf numFmtId="9" fontId="2" fillId="0" borderId="8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9" fontId="2" fillId="0" borderId="12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9" fontId="2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72" fontId="6" fillId="0" borderId="0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9" fontId="0" fillId="0" borderId="15" xfId="0" applyNumberForma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6" fillId="2" borderId="0" xfId="0" applyFont="1" applyFill="1" applyAlignment="1">
      <alignment vertical="center" wrapText="1"/>
    </xf>
    <xf numFmtId="0" fontId="1" fillId="0" borderId="34" xfId="0" applyFont="1" applyBorder="1" applyAlignment="1" applyProtection="1">
      <alignment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vertical="center"/>
      <protection/>
    </xf>
    <xf numFmtId="0" fontId="20" fillId="0" borderId="29" xfId="0" applyFont="1" applyBorder="1" applyAlignment="1" applyProtection="1">
      <alignment vertical="center"/>
      <protection/>
    </xf>
    <xf numFmtId="0" fontId="20" fillId="0" borderId="30" xfId="0" applyFont="1" applyBorder="1" applyAlignment="1" applyProtection="1">
      <alignment vertical="center"/>
      <protection/>
    </xf>
    <xf numFmtId="0" fontId="20" fillId="0" borderId="45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2" fillId="0" borderId="2" xfId="0" applyFont="1" applyBorder="1" applyAlignment="1" applyProtection="1">
      <alignment vertical="center"/>
      <protection/>
    </xf>
    <xf numFmtId="0" fontId="12" fillId="0" borderId="46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72" fontId="0" fillId="0" borderId="15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18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4" fillId="0" borderId="18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2" fillId="0" borderId="55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3" borderId="15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63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7" fillId="0" borderId="65" xfId="0" applyFont="1" applyFill="1" applyBorder="1" applyAlignment="1" applyProtection="1">
      <alignment horizontal="left" vertical="center"/>
      <protection/>
    </xf>
    <xf numFmtId="0" fontId="1" fillId="0" borderId="66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3" fillId="4" borderId="67" xfId="0" applyFont="1" applyFill="1" applyBorder="1" applyAlignment="1" applyProtection="1">
      <alignment horizontal="center" vertical="center"/>
      <protection/>
    </xf>
    <xf numFmtId="0" fontId="0" fillId="4" borderId="68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left" vertical="center"/>
      <protection/>
    </xf>
    <xf numFmtId="0" fontId="2" fillId="0" borderId="70" xfId="0" applyFont="1" applyBorder="1" applyAlignment="1" applyProtection="1">
      <alignment horizontal="left" vertical="center"/>
      <protection/>
    </xf>
    <xf numFmtId="0" fontId="2" fillId="0" borderId="71" xfId="0" applyFont="1" applyBorder="1" applyAlignment="1" applyProtection="1">
      <alignment horizontal="left" vertical="center"/>
      <protection/>
    </xf>
    <xf numFmtId="0" fontId="2" fillId="0" borderId="72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right" vertical="center"/>
      <protection/>
    </xf>
    <xf numFmtId="0" fontId="1" fillId="0" borderId="55" xfId="0" applyFont="1" applyBorder="1" applyAlignment="1" applyProtection="1">
      <alignment horizontal="right" vertical="center"/>
      <protection/>
    </xf>
    <xf numFmtId="172" fontId="6" fillId="0" borderId="34" xfId="0" applyNumberFormat="1" applyFont="1" applyBorder="1" applyAlignment="1" applyProtection="1">
      <alignment horizontal="center" vertical="center"/>
      <protection/>
    </xf>
    <xf numFmtId="172" fontId="6" fillId="0" borderId="9" xfId="0" applyNumberFormat="1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1" fillId="3" borderId="18" xfId="0" applyFont="1" applyFill="1" applyBorder="1" applyAlignment="1" applyProtection="1">
      <alignment horizontal="center" vertical="center"/>
      <protection/>
    </xf>
    <xf numFmtId="0" fontId="1" fillId="3" borderId="21" xfId="0" applyFont="1" applyFill="1" applyBorder="1" applyAlignment="1" applyProtection="1">
      <alignment horizontal="center" vertical="center"/>
      <protection/>
    </xf>
    <xf numFmtId="0" fontId="1" fillId="3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2" fillId="0" borderId="7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76" xfId="0" applyFont="1" applyBorder="1" applyAlignment="1" applyProtection="1">
      <alignment horizontal="left" vertical="center"/>
      <protection/>
    </xf>
    <xf numFmtId="0" fontId="2" fillId="0" borderId="77" xfId="0" applyFont="1" applyBorder="1" applyAlignment="1" applyProtection="1">
      <alignment horizontal="left" vertical="center"/>
      <protection/>
    </xf>
    <xf numFmtId="0" fontId="2" fillId="0" borderId="7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80" xfId="0" applyFont="1" applyBorder="1" applyAlignment="1" applyProtection="1">
      <alignment horizontal="left" vertical="center"/>
      <protection/>
    </xf>
    <xf numFmtId="0" fontId="2" fillId="0" borderId="8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ORIA_me_tetramnva!A1" /><Relationship Id="rId2" Type="http://schemas.openxmlformats.org/officeDocument/2006/relationships/hyperlink" Target="#MORIA_me_proforiko!A1" /><Relationship Id="rId3" Type="http://schemas.openxmlformats.org/officeDocument/2006/relationships/hyperlink" Target="#MORIA_me_bathmo_prosvasn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isod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Eisodos!A1" /><Relationship Id="rId2" Type="http://schemas.openxmlformats.org/officeDocument/2006/relationships/hyperlink" Target="#Eisod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Eisodos!A1" /><Relationship Id="rId2" Type="http://schemas.openxmlformats.org/officeDocument/2006/relationships/hyperlink" Target="#Eisod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8</xdr:row>
      <xdr:rowOff>38100</xdr:rowOff>
    </xdr:from>
    <xdr:ext cx="1828800" cy="1685925"/>
    <xdr:sp>
      <xdr:nvSpPr>
        <xdr:cNvPr id="1" name="TextBox 8">
          <a:hlinkClick r:id="rId1"/>
        </xdr:cNvPr>
        <xdr:cNvSpPr txBox="1">
          <a:spLocks noChangeArrowheads="1"/>
        </xdr:cNvSpPr>
      </xdr:nvSpPr>
      <xdr:spPr>
        <a:xfrm>
          <a:off x="485775" y="1409700"/>
          <a:ext cx="1828800" cy="1685925"/>
        </a:xfrm>
        <a:prstGeom prst="rect">
          <a:avLst/>
        </a:prstGeom>
        <a:gradFill rotWithShape="1">
          <a:gsLst>
            <a:gs pos="0">
              <a:srgbClr val="750000"/>
            </a:gs>
            <a:gs pos="50000">
              <a:srgbClr val="FF0000"/>
            </a:gs>
            <a:gs pos="100000">
              <a:srgbClr val="750000"/>
            </a:gs>
          </a:gsLst>
          <a:lin ang="0" scaled="1"/>
        </a:gradFill>
        <a:ln w="25400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Θέλετε να εισαγάγετε τους προφορικούς βαθμούς των δύο τετραμήνων για κάθε μάθημα;
</a:t>
          </a: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Πατήστε στο πλαίσιο</a:t>
          </a:r>
        </a:p>
      </xdr:txBody>
    </xdr:sp>
    <xdr:clientData/>
  </xdr:oneCellAnchor>
  <xdr:oneCellAnchor>
    <xdr:from>
      <xdr:col>4</xdr:col>
      <xdr:colOff>285750</xdr:colOff>
      <xdr:row>8</xdr:row>
      <xdr:rowOff>28575</xdr:rowOff>
    </xdr:from>
    <xdr:ext cx="1828800" cy="1685925"/>
    <xdr:sp>
      <xdr:nvSpPr>
        <xdr:cNvPr id="2" name="TextBox 9">
          <a:hlinkClick r:id="rId2"/>
        </xdr:cNvPr>
        <xdr:cNvSpPr txBox="1">
          <a:spLocks noChangeArrowheads="1"/>
        </xdr:cNvSpPr>
      </xdr:nvSpPr>
      <xdr:spPr>
        <a:xfrm>
          <a:off x="2647950" y="1400175"/>
          <a:ext cx="1828800" cy="1685925"/>
        </a:xfrm>
        <a:prstGeom prst="rect">
          <a:avLst/>
        </a:prstGeom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0" scaled="1"/>
        </a:gradFill>
        <a:ln w="25400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Θέλετε να εισαγάγετε μόνο τον τελικό προφορικό βαθμό του κάθε μαθήματος;
</a:t>
          </a: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Πατήστε στο πλαίσιο</a:t>
          </a:r>
        </a:p>
      </xdr:txBody>
    </xdr:sp>
    <xdr:clientData/>
  </xdr:oneCellAnchor>
  <xdr:oneCellAnchor>
    <xdr:from>
      <xdr:col>8</xdr:col>
      <xdr:colOff>257175</xdr:colOff>
      <xdr:row>8</xdr:row>
      <xdr:rowOff>38100</xdr:rowOff>
    </xdr:from>
    <xdr:ext cx="1828800" cy="1685925"/>
    <xdr:sp>
      <xdr:nvSpPr>
        <xdr:cNvPr id="3" name="TextBox 10">
          <a:hlinkClick r:id="rId3"/>
        </xdr:cNvPr>
        <xdr:cNvSpPr txBox="1">
          <a:spLocks noChangeArrowheads="1"/>
        </xdr:cNvSpPr>
      </xdr:nvSpPr>
      <xdr:spPr>
        <a:xfrm>
          <a:off x="4800600" y="1409700"/>
          <a:ext cx="1828800" cy="1685925"/>
        </a:xfrm>
        <a:prstGeom prst="rect">
          <a:avLst/>
        </a:prstGeom>
        <a:gradFill rotWithShape="1">
          <a:gsLst>
            <a:gs pos="0">
              <a:srgbClr val="000075"/>
            </a:gs>
            <a:gs pos="50000">
              <a:srgbClr val="0000FF"/>
            </a:gs>
            <a:gs pos="100000">
              <a:srgbClr val="000075"/>
            </a:gs>
          </a:gsLst>
          <a:lin ang="0" scaled="1"/>
        </a:gradFill>
        <a:ln w="25400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Θέλετε να εισαγάγετε μόνο το βαθμό πρόσβασης κάθε μαθήματος;
</a:t>
          </a: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Πατήστε στο πλαίσιο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</xdr:row>
      <xdr:rowOff>66675</xdr:rowOff>
    </xdr:from>
    <xdr:ext cx="790575" cy="323850"/>
    <xdr:sp>
      <xdr:nvSpPr>
        <xdr:cNvPr id="1" name="AutoShape 8">
          <a:hlinkClick r:id="rId1"/>
        </xdr:cNvPr>
        <xdr:cNvSpPr>
          <a:spLocks/>
        </xdr:cNvSpPr>
      </xdr:nvSpPr>
      <xdr:spPr>
        <a:xfrm flipH="1">
          <a:off x="428625" y="200025"/>
          <a:ext cx="790575" cy="323850"/>
        </a:xfrm>
        <a:prstGeom prst="homePlate">
          <a:avLst/>
        </a:prstGeom>
        <a:gradFill rotWithShape="1">
          <a:gsLst>
            <a:gs pos="0">
              <a:srgbClr val="FFFF99"/>
            </a:gs>
            <a:gs pos="100000">
              <a:srgbClr val="B6B66D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Πίσω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</xdr:row>
      <xdr:rowOff>66675</xdr:rowOff>
    </xdr:from>
    <xdr:ext cx="790575" cy="323850"/>
    <xdr:sp>
      <xdr:nvSpPr>
        <xdr:cNvPr id="1" name="AutoShape 3">
          <a:hlinkClick r:id="rId1"/>
        </xdr:cNvPr>
        <xdr:cNvSpPr>
          <a:spLocks/>
        </xdr:cNvSpPr>
      </xdr:nvSpPr>
      <xdr:spPr>
        <a:xfrm flipH="1">
          <a:off x="428625" y="200025"/>
          <a:ext cx="790575" cy="323850"/>
        </a:xfrm>
        <a:prstGeom prst="homePlate">
          <a:avLst/>
        </a:prstGeom>
        <a:gradFill rotWithShape="1">
          <a:gsLst>
            <a:gs pos="0">
              <a:srgbClr val="FFFF99"/>
            </a:gs>
            <a:gs pos="100000">
              <a:srgbClr val="B6B66D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Πίσω</a:t>
          </a:r>
        </a:p>
      </xdr:txBody>
    </xdr:sp>
    <xdr:clientData fPrintsWithSheet="0"/>
  </xdr:oneCellAnchor>
  <xdr:oneCellAnchor>
    <xdr:from>
      <xdr:col>1</xdr:col>
      <xdr:colOff>342900</xdr:colOff>
      <xdr:row>1</xdr:row>
      <xdr:rowOff>66675</xdr:rowOff>
    </xdr:from>
    <xdr:ext cx="790575" cy="323850"/>
    <xdr:sp>
      <xdr:nvSpPr>
        <xdr:cNvPr id="2" name="AutoShape 6">
          <a:hlinkClick r:id="rId2"/>
        </xdr:cNvPr>
        <xdr:cNvSpPr>
          <a:spLocks/>
        </xdr:cNvSpPr>
      </xdr:nvSpPr>
      <xdr:spPr>
        <a:xfrm flipH="1">
          <a:off x="428625" y="200025"/>
          <a:ext cx="790575" cy="323850"/>
        </a:xfrm>
        <a:prstGeom prst="homePlate">
          <a:avLst/>
        </a:prstGeom>
        <a:gradFill rotWithShape="1">
          <a:gsLst>
            <a:gs pos="0">
              <a:srgbClr val="FFFF99"/>
            </a:gs>
            <a:gs pos="100000">
              <a:srgbClr val="B6B66D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Πίσω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</xdr:row>
      <xdr:rowOff>66675</xdr:rowOff>
    </xdr:from>
    <xdr:ext cx="790575" cy="323850"/>
    <xdr:sp>
      <xdr:nvSpPr>
        <xdr:cNvPr id="1" name="AutoShape 3">
          <a:hlinkClick r:id="rId1"/>
        </xdr:cNvPr>
        <xdr:cNvSpPr>
          <a:spLocks/>
        </xdr:cNvSpPr>
      </xdr:nvSpPr>
      <xdr:spPr>
        <a:xfrm flipH="1">
          <a:off x="428625" y="200025"/>
          <a:ext cx="790575" cy="323850"/>
        </a:xfrm>
        <a:prstGeom prst="homePlate">
          <a:avLst/>
        </a:prstGeom>
        <a:gradFill rotWithShape="1">
          <a:gsLst>
            <a:gs pos="0">
              <a:srgbClr val="FFFF99"/>
            </a:gs>
            <a:gs pos="100000">
              <a:srgbClr val="B6B66D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Πίσω</a:t>
          </a:r>
        </a:p>
      </xdr:txBody>
    </xdr:sp>
    <xdr:clientData fPrintsWithSheet="0"/>
  </xdr:oneCellAnchor>
  <xdr:oneCellAnchor>
    <xdr:from>
      <xdr:col>1</xdr:col>
      <xdr:colOff>342900</xdr:colOff>
      <xdr:row>1</xdr:row>
      <xdr:rowOff>66675</xdr:rowOff>
    </xdr:from>
    <xdr:ext cx="790575" cy="323850"/>
    <xdr:sp>
      <xdr:nvSpPr>
        <xdr:cNvPr id="2" name="AutoShape 6">
          <a:hlinkClick r:id="rId2"/>
        </xdr:cNvPr>
        <xdr:cNvSpPr>
          <a:spLocks/>
        </xdr:cNvSpPr>
      </xdr:nvSpPr>
      <xdr:spPr>
        <a:xfrm flipH="1">
          <a:off x="428625" y="200025"/>
          <a:ext cx="790575" cy="323850"/>
        </a:xfrm>
        <a:prstGeom prst="homePlate">
          <a:avLst/>
        </a:prstGeom>
        <a:gradFill rotWithShape="1">
          <a:gsLst>
            <a:gs pos="0">
              <a:srgbClr val="FFFF99"/>
            </a:gs>
            <a:gs pos="100000">
              <a:srgbClr val="B6B66D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Πίσω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4:L25"/>
  <sheetViews>
    <sheetView showGridLines="0" showRowColHeaders="0" showZeros="0" tabSelected="1" showOutlineSymbols="0" zoomScale="85" zoomScaleNormal="85" workbookViewId="0" topLeftCell="A1">
      <selection activeCell="N18" sqref="N18"/>
    </sheetView>
  </sheetViews>
  <sheetFormatPr defaultColWidth="9.140625" defaultRowHeight="12.75"/>
  <cols>
    <col min="1" max="1" width="8.00390625" style="53" customWidth="1"/>
    <col min="2" max="4" width="9.140625" style="53" customWidth="1"/>
    <col min="5" max="5" width="5.28125" style="53" customWidth="1"/>
    <col min="6" max="8" width="9.140625" style="53" customWidth="1"/>
    <col min="9" max="9" width="5.28125" style="53" customWidth="1"/>
    <col min="10" max="16384" width="9.140625" style="53" customWidth="1"/>
  </cols>
  <sheetData>
    <row r="4" spans="2:12" ht="18" customHeight="1">
      <c r="B4" s="114" t="s">
        <v>60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2" ht="13.5" customHeight="1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2" ht="12.7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12.7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5:9" ht="12.75" customHeight="1">
      <c r="E8" s="56"/>
      <c r="I8" s="56"/>
    </row>
    <row r="9" spans="5:9" ht="12.75" customHeight="1">
      <c r="E9" s="56"/>
      <c r="I9" s="56"/>
    </row>
    <row r="10" spans="5:9" ht="12.75" customHeight="1">
      <c r="E10" s="55"/>
      <c r="I10" s="55"/>
    </row>
    <row r="11" spans="5:9" ht="12.75" customHeight="1">
      <c r="E11" s="56"/>
      <c r="I11" s="56"/>
    </row>
    <row r="12" spans="5:9" ht="12.75" customHeight="1">
      <c r="E12" s="56"/>
      <c r="I12" s="56"/>
    </row>
    <row r="13" spans="5:9" ht="12.75" customHeight="1">
      <c r="E13" s="56"/>
      <c r="I13" s="56"/>
    </row>
    <row r="14" spans="5:9" ht="12.75" customHeight="1">
      <c r="E14" s="56"/>
      <c r="I14" s="56"/>
    </row>
    <row r="15" spans="5:9" ht="12.75" customHeight="1">
      <c r="E15" s="57"/>
      <c r="I15" s="57"/>
    </row>
    <row r="16" spans="5:9" ht="12.75" customHeight="1">
      <c r="E16" s="57"/>
      <c r="I16" s="57"/>
    </row>
    <row r="17" spans="5:9" ht="12.75" customHeight="1">
      <c r="E17" s="57"/>
      <c r="I17" s="57"/>
    </row>
    <row r="18" spans="5:9" ht="12.75" customHeight="1">
      <c r="E18" s="54"/>
      <c r="I18" s="54"/>
    </row>
    <row r="19" spans="5:9" ht="12.75" customHeight="1">
      <c r="E19" s="54"/>
      <c r="I19" s="54"/>
    </row>
    <row r="20" spans="5:9" ht="12.75" customHeight="1">
      <c r="E20" s="54"/>
      <c r="I20" s="54"/>
    </row>
    <row r="21" spans="2:12" ht="12.75" customHeight="1">
      <c r="B21" s="115" t="s">
        <v>61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</row>
    <row r="22" spans="2:12" ht="13.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2:12" ht="12.7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2:12" ht="12.7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ht="12.75" customHeigh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</sheetData>
  <sheetProtection password="EBB3" sheet="1" objects="1" scenarios="1" selectLockedCells="1"/>
  <mergeCells count="2">
    <mergeCell ref="B4:L5"/>
    <mergeCell ref="B21:L2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V104"/>
  <sheetViews>
    <sheetView showGridLines="0" showRowColHeaders="0" showZeros="0" showOutlineSymbols="0" defaultGridColor="0" zoomScale="75" zoomScaleNormal="75" colorId="21" workbookViewId="0" topLeftCell="A1">
      <selection activeCell="F11" sqref="F11"/>
    </sheetView>
  </sheetViews>
  <sheetFormatPr defaultColWidth="9.140625" defaultRowHeight="16.5" customHeight="1"/>
  <cols>
    <col min="1" max="1" width="1.28515625" style="2" customWidth="1"/>
    <col min="2" max="2" width="11.57421875" style="2" customWidth="1"/>
    <col min="3" max="3" width="28.7109375" style="2" customWidth="1"/>
    <col min="4" max="4" width="1.57421875" style="2" customWidth="1"/>
    <col min="5" max="10" width="6.7109375" style="2" customWidth="1"/>
    <col min="11" max="11" width="1.7109375" style="2" customWidth="1"/>
    <col min="12" max="12" width="36.00390625" style="2" customWidth="1"/>
    <col min="13" max="13" width="4.7109375" style="2" customWidth="1"/>
    <col min="14" max="14" width="6.8515625" style="2" customWidth="1"/>
    <col min="15" max="15" width="7.7109375" style="2" customWidth="1"/>
    <col min="16" max="19" width="9.140625" style="2" customWidth="1"/>
    <col min="20" max="20" width="13.140625" style="2" bestFit="1" customWidth="1"/>
    <col min="21" max="16384" width="9.140625" style="2" customWidth="1"/>
  </cols>
  <sheetData>
    <row r="1" ht="10.5" customHeight="1"/>
    <row r="2" spans="2:16" ht="16.5" customHeight="1">
      <c r="B2" s="187" t="s">
        <v>62</v>
      </c>
      <c r="C2" s="188"/>
      <c r="D2" s="188"/>
      <c r="E2" s="188"/>
      <c r="F2" s="188"/>
      <c r="G2" s="188"/>
      <c r="H2" s="188"/>
      <c r="I2" s="188"/>
      <c r="J2" s="189"/>
      <c r="L2" s="159" t="s">
        <v>51</v>
      </c>
      <c r="M2" s="160"/>
      <c r="N2" s="161"/>
      <c r="O2" s="4" t="s">
        <v>25</v>
      </c>
      <c r="P2" s="5"/>
    </row>
    <row r="3" spans="2:15" ht="16.5" customHeight="1">
      <c r="B3" s="6"/>
      <c r="C3" s="7" t="s">
        <v>1</v>
      </c>
      <c r="D3" s="192"/>
      <c r="E3" s="193"/>
      <c r="F3" s="193"/>
      <c r="G3" s="193"/>
      <c r="H3" s="193"/>
      <c r="I3" s="194"/>
      <c r="J3" s="8"/>
      <c r="L3" s="9" t="s">
        <v>49</v>
      </c>
      <c r="M3" s="10">
        <v>0.8</v>
      </c>
      <c r="N3" s="11">
        <f>IF(J23=0,0,$J$25)</f>
        <v>0</v>
      </c>
      <c r="O3" s="11">
        <f>ROUND(N3*M3*1000,0)</f>
        <v>0</v>
      </c>
    </row>
    <row r="4" spans="2:15" ht="16.5" customHeight="1">
      <c r="B4" s="6"/>
      <c r="C4" s="12"/>
      <c r="D4" s="12"/>
      <c r="E4" s="12"/>
      <c r="F4" s="12"/>
      <c r="G4" s="12"/>
      <c r="H4" s="12"/>
      <c r="I4" s="12"/>
      <c r="J4" s="8"/>
      <c r="L4" s="13" t="str">
        <f>IF($A$93=1,D93,IF(OR($A$93=2,$A$93=3,$A$93=4),K93,""))</f>
        <v>Νεοελληνική Γλώσσα Γενικής Παιδείας</v>
      </c>
      <c r="M4" s="14">
        <f>IF($A$93=1,I93,IF(OR($A$93=2,$A$93=3,$A$93=4),I95,""))</f>
        <v>0.09</v>
      </c>
      <c r="N4" s="15">
        <f>IF($A$93=1,J11,IF(OR($A$93=2,$A$93=3,$A$93=4),J15,""))</f>
        <v>0</v>
      </c>
      <c r="O4" s="16">
        <f>ROUND(N4*M4*1000,0)</f>
        <v>0</v>
      </c>
    </row>
    <row r="5" spans="2:15" ht="18" customHeight="1">
      <c r="B5" s="190" t="s">
        <v>38</v>
      </c>
      <c r="C5" s="191"/>
      <c r="D5" s="178"/>
      <c r="E5" s="178"/>
      <c r="F5" s="178"/>
      <c r="G5" s="178"/>
      <c r="H5" s="178"/>
      <c r="I5" s="178"/>
      <c r="J5" s="17"/>
      <c r="L5" s="18" t="str">
        <f>IF($A$93=1,D94,IF(OR($A$93=2,$A$93=3,$A$93=4),K94,""))</f>
        <v>Ιστορία Γενικής Παιδείας</v>
      </c>
      <c r="M5" s="19">
        <f>IF($A$93=1,I94,IF(OR($A$93=2,$A$93=3,$A$93=4),I96,""))</f>
        <v>0.04</v>
      </c>
      <c r="N5" s="15">
        <f>IF($A$93=1,J14,IF(OR($A$93=2,$A$93=3,$A$93=4),J16,""))</f>
        <v>0</v>
      </c>
      <c r="O5" s="15">
        <f>ROUND(N5*M5*1000,0)</f>
        <v>0</v>
      </c>
    </row>
    <row r="6" spans="2:15" ht="7.5" customHeight="1">
      <c r="B6" s="190"/>
      <c r="C6" s="191"/>
      <c r="D6" s="178"/>
      <c r="E6" s="178"/>
      <c r="F6" s="178"/>
      <c r="G6" s="178"/>
      <c r="H6" s="178"/>
      <c r="I6" s="178"/>
      <c r="J6" s="17"/>
      <c r="L6" s="179" t="s">
        <v>0</v>
      </c>
      <c r="M6" s="20"/>
      <c r="N6" s="181">
        <f>1000*(N3*M3+N4*M4+N5*M5)</f>
        <v>0</v>
      </c>
      <c r="O6" s="181">
        <f>SUM(O3:O5)</f>
        <v>0</v>
      </c>
    </row>
    <row r="7" spans="2:15" ht="11.25" customHeight="1" thickBot="1">
      <c r="B7" s="52"/>
      <c r="C7" s="50"/>
      <c r="D7" s="50"/>
      <c r="E7" s="50"/>
      <c r="F7" s="50"/>
      <c r="G7" s="50"/>
      <c r="H7" s="50"/>
      <c r="I7" s="50"/>
      <c r="J7" s="17"/>
      <c r="L7" s="180"/>
      <c r="M7" s="21"/>
      <c r="N7" s="182"/>
      <c r="O7" s="182"/>
    </row>
    <row r="8" spans="2:10" ht="16.5" customHeight="1" thickBot="1">
      <c r="B8" s="165" t="s">
        <v>58</v>
      </c>
      <c r="C8" s="166"/>
      <c r="D8" s="166"/>
      <c r="E8" s="166"/>
      <c r="F8" s="166"/>
      <c r="G8" s="166"/>
      <c r="H8" s="166"/>
      <c r="I8" s="166"/>
      <c r="J8" s="167"/>
    </row>
    <row r="9" spans="2:15" ht="16.5" customHeight="1" thickBot="1">
      <c r="B9" s="183" t="s">
        <v>76</v>
      </c>
      <c r="C9" s="119" t="s">
        <v>2</v>
      </c>
      <c r="D9" s="184"/>
      <c r="E9" s="185" t="s">
        <v>3</v>
      </c>
      <c r="F9" s="186"/>
      <c r="G9" s="186"/>
      <c r="H9" s="186"/>
      <c r="I9" s="176" t="s">
        <v>8</v>
      </c>
      <c r="J9" s="176" t="s">
        <v>9</v>
      </c>
      <c r="L9" s="162" t="s">
        <v>52</v>
      </c>
      <c r="M9" s="163"/>
      <c r="N9" s="164"/>
      <c r="O9" s="22" t="s">
        <v>25</v>
      </c>
    </row>
    <row r="10" spans="2:15" ht="16.5" customHeight="1" thickBot="1">
      <c r="B10" s="119"/>
      <c r="C10" s="112"/>
      <c r="D10" s="148"/>
      <c r="E10" s="64" t="s">
        <v>4</v>
      </c>
      <c r="F10" s="64" t="s">
        <v>5</v>
      </c>
      <c r="G10" s="63" t="s">
        <v>6</v>
      </c>
      <c r="H10" s="62" t="s">
        <v>7</v>
      </c>
      <c r="I10" s="177"/>
      <c r="J10" s="177"/>
      <c r="L10" s="23" t="s">
        <v>49</v>
      </c>
      <c r="M10" s="24">
        <v>0.8</v>
      </c>
      <c r="N10" s="11">
        <f>IF($J$23=0,0,$J$25)</f>
        <v>0</v>
      </c>
      <c r="O10" s="11">
        <f>ROUND(N10*M10*1000,0)</f>
        <v>0</v>
      </c>
    </row>
    <row r="11" spans="2:15" ht="16.5" customHeight="1">
      <c r="B11" s="153" t="s">
        <v>10</v>
      </c>
      <c r="C11" s="168" t="str">
        <f>IF(A93=1,B93,IF(OR(A93=2,A93=3,A93=4),B97,""))</f>
        <v>Μαθηματκά</v>
      </c>
      <c r="D11" s="169"/>
      <c r="E11" s="59"/>
      <c r="F11" s="59"/>
      <c r="G11" s="67">
        <f aca="true" t="shared" si="0" ref="G11:G17">IF(AND(E11="",F11=""),"",IF(AND(E11="",NOT(F11="")),F11,IF(AND(NOT(E11=""),F11=""),E11,ROUND((E11+F11)/2,1))))</f>
      </c>
      <c r="H11" s="68">
        <f aca="true" t="shared" si="1" ref="H11:H17">IF(G11="","",IF(I11-G11&gt;2,I11-2,IF(G11-I11&gt;2,I11+2,G11)))</f>
      </c>
      <c r="I11" s="59"/>
      <c r="J11" s="76">
        <f aca="true" t="shared" si="2" ref="J11:J17">IF(I11="",0,IF(H11="",I11,ROUND(0.7*I11+0.3*H11,1)))</f>
        <v>0</v>
      </c>
      <c r="L11" s="13" t="str">
        <f>IF($A$93=1,K95,IF(OR($A$93=2,$A$93=3,$A$93=4),D95,""))</f>
        <v>Μαθηματκά Κατεύθυνσης</v>
      </c>
      <c r="M11" s="14">
        <f>IF($A$93=1,I95,IF(OR($A$93=2,$A$93=3,$A$93=4),I93,""))</f>
        <v>0.13</v>
      </c>
      <c r="N11" s="16">
        <f>IF($A$93=1,J16,IF(OR($A$93=2,$A$93=3,$A$93=4),J11,""))</f>
        <v>0</v>
      </c>
      <c r="O11" s="16">
        <f>ROUND(N11*M11*1000,0)</f>
        <v>0</v>
      </c>
    </row>
    <row r="12" spans="2:15" ht="17.25" customHeight="1">
      <c r="B12" s="154"/>
      <c r="C12" s="170" t="str">
        <f>IF(A93=1,B94,IF(OR(A93=2,A93=3,A93=4),B98,""))</f>
        <v>Φυσική</v>
      </c>
      <c r="D12" s="171"/>
      <c r="E12" s="58"/>
      <c r="F12" s="58"/>
      <c r="G12" s="69">
        <f t="shared" si="0"/>
      </c>
      <c r="H12" s="70">
        <f t="shared" si="1"/>
      </c>
      <c r="I12" s="58"/>
      <c r="J12" s="77">
        <f t="shared" si="2"/>
        <v>0</v>
      </c>
      <c r="L12" s="18" t="str">
        <f>IF($A$93=1,K93,IF(OR($A$93=2,$A$93=3,$A$93=4),D96,""))</f>
        <v>Φυσική Κατεύθυνσης</v>
      </c>
      <c r="M12" s="19">
        <f>IF($A$93=1,I96,IF(OR($A$93=2,$A$93=3,$A$93=4),I94,""))</f>
        <v>0.07</v>
      </c>
      <c r="N12" s="15">
        <f>IF($A$93=1,J15,IF(OR($A$93=2,$A$93=3,$A$93=4),J12,""))</f>
        <v>0</v>
      </c>
      <c r="O12" s="15">
        <f>ROUND(N12*M12*1000,0)</f>
        <v>0</v>
      </c>
    </row>
    <row r="13" spans="2:15" ht="17.25" customHeight="1">
      <c r="B13" s="154"/>
      <c r="C13" s="172" t="str">
        <f>IF(A93=1,B95,IF(A93=2,B99,IF(A93=3,B101,IF(A93=4,B103,""))))</f>
        <v>Ανάπτυξη Εφαρμ. σε Προγρ. Περιβάλλον</v>
      </c>
      <c r="D13" s="173"/>
      <c r="E13" s="58"/>
      <c r="F13" s="58"/>
      <c r="G13" s="69">
        <f t="shared" si="0"/>
      </c>
      <c r="H13" s="70">
        <f t="shared" si="1"/>
      </c>
      <c r="I13" s="58"/>
      <c r="J13" s="77">
        <f t="shared" si="2"/>
        <v>0</v>
      </c>
      <c r="L13" s="25" t="s">
        <v>0</v>
      </c>
      <c r="M13" s="26"/>
      <c r="N13" s="27">
        <f>1000*(N10*M10+N11*M11+N12*M12)</f>
        <v>0</v>
      </c>
      <c r="O13" s="27">
        <f>SUM(O10:O12)</f>
        <v>0</v>
      </c>
    </row>
    <row r="14" spans="2:10" ht="17.25" customHeight="1" thickBot="1">
      <c r="B14" s="155"/>
      <c r="C14" s="174" t="str">
        <f>IF(A93=1,B96,IF(A93=2,B100,IF(A93=3,B102,IF(A93=4,B104,""))))</f>
        <v>Αρχές Οργ. &amp; Διοίκ. Επιχ/σεων</v>
      </c>
      <c r="D14" s="175"/>
      <c r="E14" s="60"/>
      <c r="F14" s="60"/>
      <c r="G14" s="71">
        <f t="shared" si="0"/>
      </c>
      <c r="H14" s="72">
        <f t="shared" si="1"/>
      </c>
      <c r="I14" s="60"/>
      <c r="J14" s="78">
        <f t="shared" si="2"/>
        <v>0</v>
      </c>
    </row>
    <row r="15" spans="2:15" ht="17.25" customHeight="1" thickBot="1">
      <c r="B15" s="104" t="s">
        <v>65</v>
      </c>
      <c r="C15" s="142" t="s">
        <v>22</v>
      </c>
      <c r="D15" s="143"/>
      <c r="E15" s="75"/>
      <c r="F15" s="75"/>
      <c r="G15" s="73">
        <f t="shared" si="0"/>
      </c>
      <c r="H15" s="92">
        <f t="shared" si="1"/>
      </c>
      <c r="I15" s="75"/>
      <c r="J15" s="87">
        <f t="shared" si="2"/>
        <v>0</v>
      </c>
      <c r="L15" s="162" t="s">
        <v>53</v>
      </c>
      <c r="M15" s="163"/>
      <c r="N15" s="164"/>
      <c r="O15" s="22" t="s">
        <v>25</v>
      </c>
    </row>
    <row r="16" spans="2:19" ht="17.25" customHeight="1" thickBot="1">
      <c r="B16" s="104" t="s">
        <v>66</v>
      </c>
      <c r="C16" s="85" t="s">
        <v>18</v>
      </c>
      <c r="D16" s="86"/>
      <c r="E16" s="75"/>
      <c r="F16" s="75"/>
      <c r="G16" s="73">
        <f t="shared" si="0"/>
      </c>
      <c r="H16" s="92">
        <f t="shared" si="1"/>
      </c>
      <c r="I16" s="75"/>
      <c r="J16" s="87">
        <f t="shared" si="2"/>
        <v>0</v>
      </c>
      <c r="L16" s="23" t="s">
        <v>49</v>
      </c>
      <c r="M16" s="10">
        <v>0.8</v>
      </c>
      <c r="N16" s="11">
        <f>IF($J$23=0,0,$J$25)</f>
        <v>0</v>
      </c>
      <c r="O16" s="11">
        <f>ROUND(N16*M16*1000,0)</f>
        <v>0</v>
      </c>
      <c r="Q16" s="28"/>
      <c r="R16" s="29"/>
      <c r="S16" s="30"/>
    </row>
    <row r="17" spans="2:19" ht="17.25" customHeight="1" thickBot="1">
      <c r="B17" s="105" t="s">
        <v>11</v>
      </c>
      <c r="C17" s="147" t="s">
        <v>55</v>
      </c>
      <c r="D17" s="147"/>
      <c r="E17" s="61"/>
      <c r="F17" s="61"/>
      <c r="G17" s="73">
        <f t="shared" si="0"/>
      </c>
      <c r="H17" s="74">
        <f t="shared" si="1"/>
      </c>
      <c r="I17" s="61"/>
      <c r="J17" s="79">
        <f t="shared" si="2"/>
        <v>0</v>
      </c>
      <c r="L17" s="13" t="str">
        <f>IF($A$93=2,D98,IF(OR($A$93=1,$A$93=3,$A$93=4),K96,""))</f>
        <v>Βιολογία Γενικής Παιδείας</v>
      </c>
      <c r="M17" s="14">
        <f>IF($A$93=2,I93,IF(OR($A$93=1,$A$93=3,$A$93=4),I95,""))</f>
        <v>0.09</v>
      </c>
      <c r="N17" s="16">
        <f>IF($A$93=2,J14,IF(OR($A$93=1,$A$93=3,$A$93=4),J16,""))</f>
        <v>0</v>
      </c>
      <c r="O17" s="16">
        <f>ROUND(N17*M17*1000,0)</f>
        <v>0</v>
      </c>
      <c r="Q17" s="28"/>
      <c r="R17" s="29"/>
      <c r="S17" s="30"/>
    </row>
    <row r="18" spans="12:19" ht="17.25" customHeight="1">
      <c r="L18" s="18" t="str">
        <f>IF($A$93=2,D97,IF(OR($A$93=1,$A$93=3,$A$93=4),K93,""))</f>
        <v>Νεοελληνική Γλώσσα Γενικής Παιδείας</v>
      </c>
      <c r="M18" s="19">
        <f>IF($A$93=2,I94,IF(OR($A$93=1,$A$93=3,$A$93=4),I96,""))</f>
        <v>0.04</v>
      </c>
      <c r="N18" s="16">
        <f>IF($A$93=2,J13,IF(OR($A$93=1,$A$93=3,$A$93=4),J15,""))</f>
        <v>0</v>
      </c>
      <c r="O18" s="15">
        <f>ROUND(N18*M18*1000,0)</f>
        <v>0</v>
      </c>
      <c r="Q18" s="28"/>
      <c r="R18" s="29"/>
      <c r="S18" s="30"/>
    </row>
    <row r="19" spans="2:19" ht="17.25" customHeight="1">
      <c r="B19" s="151" t="s">
        <v>13</v>
      </c>
      <c r="C19" s="152"/>
      <c r="E19" s="148" t="s">
        <v>12</v>
      </c>
      <c r="F19" s="149"/>
      <c r="G19" s="149"/>
      <c r="H19" s="149"/>
      <c r="I19" s="150"/>
      <c r="J19" s="37">
        <f>IF($A$100,ROUND(SUM(J11:J17)/7,2),ROUND(SUM(J11:J16)/6,2))</f>
        <v>0</v>
      </c>
      <c r="L19" s="25" t="s">
        <v>0</v>
      </c>
      <c r="M19" s="26"/>
      <c r="N19" s="27">
        <f>1000*(N16*M16+N17*M17+N18*M18)</f>
        <v>0</v>
      </c>
      <c r="O19" s="27">
        <f>SUM(O16:O18)</f>
        <v>0</v>
      </c>
      <c r="Q19" s="31"/>
      <c r="R19" s="29"/>
      <c r="S19" s="32"/>
    </row>
    <row r="20" spans="2:14" ht="17.25" customHeight="1">
      <c r="B20" s="120" t="s">
        <v>79</v>
      </c>
      <c r="C20" s="121"/>
      <c r="M20" s="34"/>
      <c r="N20" s="35"/>
    </row>
    <row r="21" spans="2:15" ht="16.5" customHeight="1">
      <c r="B21" s="122"/>
      <c r="C21" s="123"/>
      <c r="E21" s="144" t="s">
        <v>14</v>
      </c>
      <c r="F21" s="144"/>
      <c r="G21" s="144"/>
      <c r="H21" s="144"/>
      <c r="I21" s="144"/>
      <c r="J21" s="144"/>
      <c r="L21" s="162" t="s">
        <v>54</v>
      </c>
      <c r="M21" s="163"/>
      <c r="N21" s="164"/>
      <c r="O21" s="22" t="s">
        <v>25</v>
      </c>
    </row>
    <row r="22" spans="2:15" ht="16.5" customHeight="1">
      <c r="B22" s="122"/>
      <c r="C22" s="123"/>
      <c r="E22" s="145" t="s">
        <v>15</v>
      </c>
      <c r="F22" s="145"/>
      <c r="G22" s="145"/>
      <c r="H22" s="145"/>
      <c r="I22" s="145"/>
      <c r="J22" s="91">
        <v>0</v>
      </c>
      <c r="L22" s="23" t="s">
        <v>49</v>
      </c>
      <c r="M22" s="10">
        <v>0.8</v>
      </c>
      <c r="N22" s="11">
        <f>IF($J$23=0,0,$J$25)</f>
        <v>0</v>
      </c>
      <c r="O22" s="11">
        <f>ROUND(N22*M22*1000,0)</f>
        <v>0</v>
      </c>
    </row>
    <row r="23" spans="2:15" ht="16.5" customHeight="1">
      <c r="B23" s="122"/>
      <c r="C23" s="123"/>
      <c r="E23" s="112" t="s">
        <v>16</v>
      </c>
      <c r="F23" s="112"/>
      <c r="G23" s="112"/>
      <c r="H23" s="112"/>
      <c r="I23" s="146"/>
      <c r="J23" s="37">
        <f>J19</f>
        <v>0</v>
      </c>
      <c r="L23" s="13" t="str">
        <f>IF($A$93=1,K95,IF(OR($A$93=2,$A$93=3,$A$93=4),D95,""))</f>
        <v>Μαθηματκά Κατεύθυνσης</v>
      </c>
      <c r="M23" s="14">
        <f>IF($A$93=1,I95,IF(OR($A$93=2,$A$93=3,$A$93=4),I93,""))</f>
        <v>0.13</v>
      </c>
      <c r="N23" s="16">
        <f>IF($A$93=1,J16,IF(OR($A$93=2,$A$93=3,$A$93=4),J11,""))</f>
        <v>0</v>
      </c>
      <c r="O23" s="16">
        <f>ROUND(N23*M23*1000,0)</f>
        <v>0</v>
      </c>
    </row>
    <row r="24" spans="2:15" ht="16.5" customHeight="1">
      <c r="B24" s="122"/>
      <c r="C24" s="123"/>
      <c r="I24" s="107"/>
      <c r="L24" s="18" t="str">
        <f>IF($A$93=1,K93,IF(OR($A$93=2,$A$93=3,$A$93=4),D96,""))</f>
        <v>Φυσική Κατεύθυνσης</v>
      </c>
      <c r="M24" s="19">
        <f>IF($A$93=1,I96,IF(OR($A$93=2,$A$93=3,$A$93=4),I94,""))</f>
        <v>0.07</v>
      </c>
      <c r="N24" s="15">
        <f>IF($A$93=1,J15,IF(OR($A$93=2,$A$93=3,$A$93=4),J12,""))</f>
        <v>0</v>
      </c>
      <c r="O24" s="15">
        <f>ROUND(N24*M24*1000,0)</f>
        <v>0</v>
      </c>
    </row>
    <row r="25" spans="2:15" ht="16.5" customHeight="1">
      <c r="B25" s="122"/>
      <c r="C25" s="123"/>
      <c r="E25" s="112" t="s">
        <v>14</v>
      </c>
      <c r="F25" s="112"/>
      <c r="G25" s="112"/>
      <c r="H25" s="112"/>
      <c r="I25" s="119"/>
      <c r="J25" s="108">
        <f>IF(J22&lt;=J23,J23,ROUND((0.7*J23+0.3*J22),2))</f>
        <v>0</v>
      </c>
      <c r="L25" s="25" t="s">
        <v>0</v>
      </c>
      <c r="M25" s="26"/>
      <c r="N25" s="27">
        <f>1000*(N22*M22+N23*M23+N24*M24)</f>
        <v>0</v>
      </c>
      <c r="O25" s="27">
        <f>SUM(O22:O24)</f>
        <v>0</v>
      </c>
    </row>
    <row r="26" spans="2:3" ht="16.5" customHeight="1">
      <c r="B26" s="122"/>
      <c r="C26" s="123"/>
    </row>
    <row r="27" spans="2:15" ht="16.5" customHeight="1">
      <c r="B27" s="122"/>
      <c r="C27" s="123"/>
      <c r="E27" s="126" t="s">
        <v>59</v>
      </c>
      <c r="F27" s="127"/>
      <c r="G27" s="127"/>
      <c r="H27" s="127"/>
      <c r="I27" s="127"/>
      <c r="J27" s="128"/>
      <c r="L27" s="159" t="s">
        <v>50</v>
      </c>
      <c r="M27" s="160"/>
      <c r="N27" s="161"/>
      <c r="O27" s="4" t="s">
        <v>25</v>
      </c>
    </row>
    <row r="28" spans="2:15" ht="16.5" customHeight="1">
      <c r="B28" s="122"/>
      <c r="C28" s="123"/>
      <c r="E28" s="129"/>
      <c r="F28" s="130"/>
      <c r="G28" s="130"/>
      <c r="H28" s="130"/>
      <c r="I28" s="130"/>
      <c r="J28" s="131"/>
      <c r="L28" s="23">
        <f>IF(I17="","",IF($A$100,"Γενικός Βαθμός Πρόσβασης",""))</f>
      </c>
      <c r="M28" s="10">
        <f>IF(I17="","",IF($A$100,80%,""))</f>
      </c>
      <c r="N28" s="11">
        <f>IF(I17="","",IF($A$100,$J$25,""))</f>
      </c>
      <c r="O28" s="11">
        <f>IF(I17="","",IF($A$100,ROUND(N28*M28*1000,0),""))</f>
      </c>
    </row>
    <row r="29" spans="2:15" ht="16.5" customHeight="1">
      <c r="B29" s="124"/>
      <c r="C29" s="125"/>
      <c r="E29" s="132"/>
      <c r="F29" s="133"/>
      <c r="G29" s="133"/>
      <c r="H29" s="133"/>
      <c r="I29" s="133"/>
      <c r="J29" s="134"/>
      <c r="L29" s="13" t="str">
        <f>IF(AND(I17="",$A$100),"Δεν υπάρχει γραπτός στον ΑΟΘ",IF($A$100,"Αρχές Οικονομικής Θεωρίας Επιλογής","Το μάθημα ΑΟΘ δεν εξετάστηκε πανελλαδικά"))</f>
        <v>Δεν υπάρχει γραπτός στον ΑΟΘ</v>
      </c>
      <c r="M29" s="14">
        <f>IF(I17="","",IF($A$100,13%,""))</f>
      </c>
      <c r="N29" s="11">
        <f>IF(I17="","",IF($A$100,J17,""))</f>
      </c>
      <c r="O29" s="11">
        <f>IF(I17="","",IF($A$100,ROUND(N29*M29*1000,0),""))</f>
      </c>
    </row>
    <row r="30" spans="2:15" ht="16.5" customHeight="1">
      <c r="B30" s="135" t="s">
        <v>67</v>
      </c>
      <c r="C30" s="135"/>
      <c r="D30" s="50"/>
      <c r="E30" s="93"/>
      <c r="F30" s="93"/>
      <c r="G30" s="93"/>
      <c r="H30" s="93"/>
      <c r="I30" s="93"/>
      <c r="J30" s="93"/>
      <c r="L30" s="18">
        <f>IF(I17="","",IF($A$100,"Μαθηματικά &amp; Στατιστική Γενικής Παιδείας",""))</f>
      </c>
      <c r="M30" s="19">
        <f>IF(I17="","",IF($A$100,7%,""))</f>
      </c>
      <c r="N30" s="11">
        <f>IF(I17="","",IF($A$100,J16,""))</f>
      </c>
      <c r="O30" s="11">
        <f>IF(I17="","",IF($A$100,ROUND(N30*M30*1000,0),""))</f>
      </c>
    </row>
    <row r="31" spans="2:15" ht="16.5" customHeight="1">
      <c r="B31" s="116">
        <f>IF(J19=0,"",CONCATENATE(Q100,Q101,R101,S101,T101,U101,V101))</f>
      </c>
      <c r="C31" s="117"/>
      <c r="D31" s="117"/>
      <c r="E31" s="117"/>
      <c r="F31" s="117"/>
      <c r="G31" s="117"/>
      <c r="H31" s="117"/>
      <c r="I31" s="117"/>
      <c r="J31" s="118"/>
      <c r="L31" s="25" t="s">
        <v>0</v>
      </c>
      <c r="M31" s="26"/>
      <c r="N31" s="27">
        <f>IF(I17="","",IF($A$100,1000*(N28*M28+N29*M29+N30*M30),""))</f>
      </c>
      <c r="O31" s="27">
        <f>IF(I17="","",IF($A$100,SUM(O28:O30),""))</f>
      </c>
    </row>
    <row r="35" spans="2:11" ht="16.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6.5" customHeight="1">
      <c r="B36" s="36"/>
      <c r="C36" s="45"/>
      <c r="D36" s="45"/>
      <c r="E36" s="88"/>
      <c r="F36" s="88"/>
      <c r="G36" s="45"/>
      <c r="H36" s="45"/>
      <c r="I36" s="88"/>
      <c r="J36" s="45"/>
      <c r="K36" s="50"/>
    </row>
    <row r="37" spans="2:11" ht="16.5" customHeight="1">
      <c r="B37" s="89"/>
      <c r="C37" s="36"/>
      <c r="D37" s="36"/>
      <c r="E37" s="36"/>
      <c r="F37" s="36"/>
      <c r="G37" s="36"/>
      <c r="H37" s="36"/>
      <c r="I37" s="36"/>
      <c r="J37" s="36"/>
      <c r="K37" s="50"/>
    </row>
    <row r="38" spans="2:11" ht="16.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6.5" customHeight="1">
      <c r="B39" s="36"/>
      <c r="C39" s="90"/>
      <c r="D39" s="90"/>
      <c r="E39" s="88"/>
      <c r="F39" s="88"/>
      <c r="G39" s="45"/>
      <c r="H39" s="45"/>
      <c r="I39" s="88"/>
      <c r="J39" s="45"/>
      <c r="K39" s="50"/>
    </row>
    <row r="92" ht="16.5" customHeight="1" hidden="1" thickBot="1">
      <c r="B92" s="2" t="s">
        <v>45</v>
      </c>
    </row>
    <row r="93" spans="1:18" ht="16.5" customHeight="1" hidden="1">
      <c r="A93" s="1">
        <v>3</v>
      </c>
      <c r="B93" s="38" t="s">
        <v>30</v>
      </c>
      <c r="D93" s="139" t="s">
        <v>39</v>
      </c>
      <c r="E93" s="140"/>
      <c r="F93" s="140"/>
      <c r="G93" s="141"/>
      <c r="I93" s="39">
        <v>0.13</v>
      </c>
      <c r="K93" s="40" t="s">
        <v>46</v>
      </c>
      <c r="M93" s="3" t="s">
        <v>33</v>
      </c>
      <c r="Q93" s="51" t="s">
        <v>68</v>
      </c>
      <c r="R93" s="51" t="s">
        <v>69</v>
      </c>
    </row>
    <row r="94" spans="2:18" ht="16.5" customHeight="1" hidden="1" thickBot="1">
      <c r="B94" s="41" t="s">
        <v>31</v>
      </c>
      <c r="D94" s="136" t="s">
        <v>40</v>
      </c>
      <c r="E94" s="137"/>
      <c r="F94" s="137"/>
      <c r="G94" s="138"/>
      <c r="I94" s="39">
        <v>0.07</v>
      </c>
      <c r="K94" s="40" t="s">
        <v>47</v>
      </c>
      <c r="M94" s="3" t="s">
        <v>34</v>
      </c>
      <c r="Q94" s="51" t="s">
        <v>70</v>
      </c>
      <c r="R94" s="101">
        <f>O6</f>
        <v>0</v>
      </c>
    </row>
    <row r="95" spans="2:18" ht="16.5" customHeight="1" hidden="1">
      <c r="B95" s="41" t="s">
        <v>32</v>
      </c>
      <c r="D95" s="139" t="s">
        <v>41</v>
      </c>
      <c r="E95" s="140"/>
      <c r="F95" s="140"/>
      <c r="G95" s="141"/>
      <c r="I95" s="39">
        <v>0.09</v>
      </c>
      <c r="K95" s="40" t="s">
        <v>48</v>
      </c>
      <c r="M95" s="3" t="s">
        <v>35</v>
      </c>
      <c r="Q95" s="51" t="s">
        <v>71</v>
      </c>
      <c r="R95" s="101">
        <f>O13</f>
        <v>0</v>
      </c>
    </row>
    <row r="96" spans="2:18" ht="16.5" customHeight="1" hidden="1" thickBot="1">
      <c r="B96" s="42" t="s">
        <v>23</v>
      </c>
      <c r="D96" s="136" t="s">
        <v>42</v>
      </c>
      <c r="E96" s="137"/>
      <c r="F96" s="137"/>
      <c r="G96" s="138"/>
      <c r="I96" s="39">
        <v>0.04</v>
      </c>
      <c r="K96" s="40" t="s">
        <v>63</v>
      </c>
      <c r="M96" s="3" t="s">
        <v>36</v>
      </c>
      <c r="Q96" s="51" t="s">
        <v>72</v>
      </c>
      <c r="R96" s="101">
        <f>O19</f>
        <v>0</v>
      </c>
    </row>
    <row r="97" spans="2:18" ht="16.5" customHeight="1" hidden="1">
      <c r="B97" s="43" t="s">
        <v>20</v>
      </c>
      <c r="C97" s="44"/>
      <c r="D97" s="139" t="s">
        <v>27</v>
      </c>
      <c r="E97" s="140"/>
      <c r="F97" s="140"/>
      <c r="G97" s="141"/>
      <c r="J97" s="45"/>
      <c r="K97" s="45" t="s">
        <v>64</v>
      </c>
      <c r="M97" s="3" t="s">
        <v>37</v>
      </c>
      <c r="Q97" s="51" t="s">
        <v>73</v>
      </c>
      <c r="R97" s="101">
        <f>O25</f>
        <v>0</v>
      </c>
    </row>
    <row r="98" spans="2:18" ht="16.5" customHeight="1" hidden="1" thickBot="1">
      <c r="B98" s="46" t="s">
        <v>18</v>
      </c>
      <c r="C98" s="47"/>
      <c r="D98" s="136" t="s">
        <v>43</v>
      </c>
      <c r="E98" s="137"/>
      <c r="F98" s="137"/>
      <c r="G98" s="138"/>
      <c r="L98" s="48"/>
      <c r="Q98" s="51" t="s">
        <v>74</v>
      </c>
      <c r="R98" s="101">
        <f>O31</f>
      </c>
    </row>
    <row r="99" spans="2:18" ht="16.5" customHeight="1" hidden="1" thickBot="1">
      <c r="B99" s="41" t="s">
        <v>26</v>
      </c>
      <c r="C99" s="48"/>
      <c r="D99" s="156" t="s">
        <v>44</v>
      </c>
      <c r="E99" s="157"/>
      <c r="F99" s="157"/>
      <c r="G99" s="158"/>
      <c r="K99" s="80" t="s">
        <v>47</v>
      </c>
      <c r="L99" s="81"/>
      <c r="Q99" s="51"/>
      <c r="R99" s="51"/>
    </row>
    <row r="100" spans="1:18" ht="16.5" customHeight="1" hidden="1" thickBot="1">
      <c r="A100" s="1" t="b">
        <v>1</v>
      </c>
      <c r="B100" s="42" t="s">
        <v>19</v>
      </c>
      <c r="C100" s="49"/>
      <c r="D100" s="50"/>
      <c r="E100" s="50"/>
      <c r="F100" s="50"/>
      <c r="G100" s="50"/>
      <c r="K100" s="80" t="s">
        <v>17</v>
      </c>
      <c r="L100" s="81"/>
      <c r="Q100" s="113" t="str">
        <f>IF(MAX(R94,R95,R96,R97,R98)&gt;=10000,"Μπορείς να περάσεις από το","Δεν περνάς από κανένα")</f>
        <v>Δεν περνάς από κανένα</v>
      </c>
      <c r="R100" s="113"/>
    </row>
    <row r="101" spans="2:22" ht="16.5" customHeight="1" hidden="1">
      <c r="B101" s="38" t="s">
        <v>24</v>
      </c>
      <c r="C101" s="48"/>
      <c r="D101" s="45"/>
      <c r="E101" s="45"/>
      <c r="F101" s="45"/>
      <c r="G101" s="45"/>
      <c r="K101" s="80" t="s">
        <v>64</v>
      </c>
      <c r="L101" s="82"/>
      <c r="Q101" s="102">
        <f>IF(R94&gt;=10000,"  1ο,","")</f>
      </c>
      <c r="R101" s="102">
        <f>IF(R95&gt;=10000,"  2ο,","")</f>
      </c>
      <c r="S101" s="102">
        <f>IF(R96&gt;=10000,"  3ο,","")</f>
      </c>
      <c r="T101" s="102">
        <f>IF(R97&gt;=10000,"  4ο,","")</f>
      </c>
      <c r="U101" s="102">
        <f>IF(R98="","",IF(R98&gt;=10000,"  5ο,",""))</f>
      </c>
      <c r="V101" s="103" t="s">
        <v>75</v>
      </c>
    </row>
    <row r="102" spans="2:12" ht="16.5" customHeight="1" hidden="1" thickBot="1">
      <c r="B102" s="42" t="s">
        <v>21</v>
      </c>
      <c r="C102" s="49"/>
      <c r="D102" s="45"/>
      <c r="E102" s="45"/>
      <c r="F102" s="45"/>
      <c r="G102" s="45"/>
      <c r="K102" s="83" t="s">
        <v>63</v>
      </c>
      <c r="L102" s="84"/>
    </row>
    <row r="103" spans="2:7" ht="16.5" customHeight="1" hidden="1">
      <c r="B103" s="38" t="s">
        <v>28</v>
      </c>
      <c r="C103" s="48"/>
      <c r="D103" s="50"/>
      <c r="E103" s="45"/>
      <c r="F103" s="45"/>
      <c r="G103" s="50"/>
    </row>
    <row r="104" spans="2:7" ht="16.5" customHeight="1" hidden="1" thickBot="1">
      <c r="B104" s="42" t="s">
        <v>29</v>
      </c>
      <c r="C104" s="49"/>
      <c r="D104" s="45"/>
      <c r="E104" s="45"/>
      <c r="F104" s="45"/>
      <c r="G104" s="45"/>
    </row>
  </sheetData>
  <sheetProtection password="EBB3" sheet="1" objects="1" scenarios="1" selectLockedCells="1"/>
  <mergeCells count="43">
    <mergeCell ref="B2:J2"/>
    <mergeCell ref="B5:C6"/>
    <mergeCell ref="D3:I3"/>
    <mergeCell ref="O6:O7"/>
    <mergeCell ref="B9:B10"/>
    <mergeCell ref="C9:D10"/>
    <mergeCell ref="E9:H9"/>
    <mergeCell ref="I9:I10"/>
    <mergeCell ref="J9:J10"/>
    <mergeCell ref="D5:I6"/>
    <mergeCell ref="L6:L7"/>
    <mergeCell ref="N6:N7"/>
    <mergeCell ref="C11:D11"/>
    <mergeCell ref="C12:D12"/>
    <mergeCell ref="C13:D13"/>
    <mergeCell ref="C14:D14"/>
    <mergeCell ref="B11:B14"/>
    <mergeCell ref="D99:G99"/>
    <mergeCell ref="L2:N2"/>
    <mergeCell ref="L9:N9"/>
    <mergeCell ref="L15:N15"/>
    <mergeCell ref="L21:N21"/>
    <mergeCell ref="L27:N27"/>
    <mergeCell ref="B8:J8"/>
    <mergeCell ref="D93:G93"/>
    <mergeCell ref="D98:G98"/>
    <mergeCell ref="C15:D15"/>
    <mergeCell ref="E21:J21"/>
    <mergeCell ref="E22:I22"/>
    <mergeCell ref="E23:I23"/>
    <mergeCell ref="C17:D17"/>
    <mergeCell ref="E19:I19"/>
    <mergeCell ref="B19:C19"/>
    <mergeCell ref="B31:J31"/>
    <mergeCell ref="Q100:R100"/>
    <mergeCell ref="E25:I25"/>
    <mergeCell ref="B20:C29"/>
    <mergeCell ref="E27:J29"/>
    <mergeCell ref="B30:C30"/>
    <mergeCell ref="D94:G94"/>
    <mergeCell ref="D95:G95"/>
    <mergeCell ref="D96:G96"/>
    <mergeCell ref="D97:G97"/>
  </mergeCells>
  <conditionalFormatting sqref="L5 L12 L18 L24 L30">
    <cfRule type="expression" priority="1" dxfId="0" stopIfTrue="1">
      <formula>$M5&lt;&gt;7%</formula>
    </cfRule>
  </conditionalFormatting>
  <conditionalFormatting sqref="L4">
    <cfRule type="expression" priority="2" dxfId="0" stopIfTrue="1">
      <formula>$M$4&lt;&gt;13%</formula>
    </cfRule>
  </conditionalFormatting>
  <conditionalFormatting sqref="L11">
    <cfRule type="expression" priority="3" dxfId="0" stopIfTrue="1">
      <formula>$M$11&lt;&gt;13%</formula>
    </cfRule>
  </conditionalFormatting>
  <conditionalFormatting sqref="L17">
    <cfRule type="expression" priority="4" dxfId="0" stopIfTrue="1">
      <formula>$M$17&lt;&gt;13%</formula>
    </cfRule>
  </conditionalFormatting>
  <conditionalFormatting sqref="L23">
    <cfRule type="expression" priority="5" dxfId="0" stopIfTrue="1">
      <formula>$M$23&lt;&gt;13%</formula>
    </cfRule>
  </conditionalFormatting>
  <conditionalFormatting sqref="L29">
    <cfRule type="expression" priority="6" dxfId="0" stopIfTrue="1">
      <formula>$M$29&lt;&gt;13%</formula>
    </cfRule>
  </conditionalFormatting>
  <conditionalFormatting sqref="B31:J31">
    <cfRule type="expression" priority="7" dxfId="0" stopIfTrue="1">
      <formula>$J$19=0</formula>
    </cfRule>
    <cfRule type="expression" priority="8" dxfId="1" stopIfTrue="1">
      <formula>$Q$100="Μπορείς να περάσεις από το"</formula>
    </cfRule>
    <cfRule type="expression" priority="9" dxfId="2" stopIfTrue="1">
      <formula>$Q$100="Δεν περνάς από κανένα"</formula>
    </cfRule>
  </conditionalFormatting>
  <dataValidations count="2">
    <dataValidation type="decimal" allowBlank="1" showInputMessage="1" showErrorMessage="1" errorTitle="ΠΡΟΣΟΧΗ" error="Ο βαθμός που εισάγετε πρέπει να είναι μεταξύ 0 και 20" sqref="J22 I11:I15 E11:F15 I17 E17:F17">
      <formula1>0</formula1>
      <formula2>20</formula2>
    </dataValidation>
    <dataValidation type="list" allowBlank="1" showInputMessage="1" showErrorMessage="1" sqref="C39:D39 C16:D16">
      <formula1>Γενικής</formula1>
    </dataValidation>
  </dataValidations>
  <printOptions horizontalCentered="1" verticalCentered="1"/>
  <pageMargins left="0.1968503937007874" right="0.54" top="0.5511811023622047" bottom="0.7086614173228347" header="0.5118110236220472" footer="0.5118110236220472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2:V104"/>
  <sheetViews>
    <sheetView showGridLines="0" showRowColHeaders="0" showZeros="0" showOutlineSymbols="0" defaultGridColor="0" zoomScale="75" zoomScaleNormal="75" colorId="21" workbookViewId="0" topLeftCell="A1">
      <selection activeCell="G13" sqref="G13"/>
    </sheetView>
  </sheetViews>
  <sheetFormatPr defaultColWidth="9.140625" defaultRowHeight="16.5" customHeight="1"/>
  <cols>
    <col min="1" max="1" width="1.28515625" style="2" customWidth="1"/>
    <col min="2" max="2" width="11.57421875" style="2" customWidth="1"/>
    <col min="3" max="3" width="28.57421875" style="2" customWidth="1"/>
    <col min="4" max="4" width="1.57421875" style="2" customWidth="1"/>
    <col min="5" max="5" width="11.8515625" style="2" customWidth="1"/>
    <col min="6" max="7" width="11.421875" style="2" customWidth="1"/>
    <col min="8" max="8" width="6.7109375" style="2" customWidth="1"/>
    <col min="9" max="9" width="1.7109375" style="2" customWidth="1"/>
    <col min="10" max="10" width="36.00390625" style="2" customWidth="1"/>
    <col min="11" max="11" width="4.7109375" style="2" customWidth="1"/>
    <col min="12" max="12" width="6.8515625" style="2" customWidth="1"/>
    <col min="13" max="13" width="7.7109375" style="2" customWidth="1"/>
    <col min="14" max="17" width="9.140625" style="2" customWidth="1"/>
    <col min="18" max="18" width="13.140625" style="2" bestFit="1" customWidth="1"/>
    <col min="19" max="16384" width="9.140625" style="2" customWidth="1"/>
  </cols>
  <sheetData>
    <row r="1" ht="10.5" customHeight="1"/>
    <row r="2" spans="2:14" ht="16.5" customHeight="1">
      <c r="B2" s="187" t="s">
        <v>62</v>
      </c>
      <c r="C2" s="188"/>
      <c r="D2" s="188"/>
      <c r="E2" s="188"/>
      <c r="F2" s="188"/>
      <c r="G2" s="188"/>
      <c r="H2" s="189"/>
      <c r="J2" s="159" t="s">
        <v>51</v>
      </c>
      <c r="K2" s="160"/>
      <c r="L2" s="161"/>
      <c r="M2" s="4" t="s">
        <v>25</v>
      </c>
      <c r="N2" s="5"/>
    </row>
    <row r="3" spans="2:13" ht="16.5" customHeight="1">
      <c r="B3" s="6"/>
      <c r="C3" s="7" t="s">
        <v>1</v>
      </c>
      <c r="D3" s="192"/>
      <c r="E3" s="193"/>
      <c r="F3" s="193"/>
      <c r="G3" s="194"/>
      <c r="H3" s="8"/>
      <c r="J3" s="9" t="s">
        <v>49</v>
      </c>
      <c r="K3" s="10">
        <v>0.8</v>
      </c>
      <c r="L3" s="11">
        <f>IF(H23=0,0,$H$25)</f>
        <v>0</v>
      </c>
      <c r="M3" s="11">
        <f>ROUND(L3*K3*1000,0)</f>
        <v>0</v>
      </c>
    </row>
    <row r="4" spans="2:13" ht="16.5" customHeight="1">
      <c r="B4" s="6"/>
      <c r="C4" s="12"/>
      <c r="D4" s="12"/>
      <c r="E4" s="12"/>
      <c r="F4" s="12"/>
      <c r="G4" s="12"/>
      <c r="H4" s="8"/>
      <c r="J4" s="13" t="str">
        <f>IF($A$93=1,D93,IF(OR($A$93=2,$A$93=3,$A$93=4),I93,""))</f>
        <v>Αρχαία Ελληνικά Κατεύθυνσης</v>
      </c>
      <c r="K4" s="14">
        <f>IF($A$93=1,G93,IF(OR($A$93=2,$A$93=3,$A$93=4),G95,""))</f>
        <v>0.13</v>
      </c>
      <c r="L4" s="15">
        <f>IF($A$93=1,H11,IF(OR($A$93=2,$A$93=3,$A$93=4),H15,""))</f>
        <v>0</v>
      </c>
      <c r="M4" s="16">
        <f>ROUND(L4*K4*1000,0)</f>
        <v>0</v>
      </c>
    </row>
    <row r="5" spans="2:13" ht="18" customHeight="1">
      <c r="B5" s="190" t="s">
        <v>38</v>
      </c>
      <c r="C5" s="191"/>
      <c r="D5" s="178"/>
      <c r="E5" s="178"/>
      <c r="F5" s="178"/>
      <c r="G5" s="178"/>
      <c r="H5" s="17"/>
      <c r="J5" s="18" t="str">
        <f>IF($A$93=1,D94,IF(OR($A$93=2,$A$93=3,$A$93=4),I94,""))</f>
        <v>Ιστορία Κατεύθυνσης</v>
      </c>
      <c r="K5" s="19">
        <f>IF($A$93=1,G94,IF(OR($A$93=2,$A$93=3,$A$93=4),G96,""))</f>
        <v>0.07</v>
      </c>
      <c r="L5" s="15">
        <f>IF($A$93=1,H14,IF(OR($A$93=2,$A$93=3,$A$93=4),H16,""))</f>
        <v>0</v>
      </c>
      <c r="M5" s="15">
        <f>ROUND(L5*K5*1000,0)</f>
        <v>0</v>
      </c>
    </row>
    <row r="6" spans="2:13" ht="7.5" customHeight="1">
      <c r="B6" s="190"/>
      <c r="C6" s="191"/>
      <c r="D6" s="178"/>
      <c r="E6" s="178"/>
      <c r="F6" s="178"/>
      <c r="G6" s="178"/>
      <c r="H6" s="17"/>
      <c r="J6" s="179" t="s">
        <v>0</v>
      </c>
      <c r="K6" s="20"/>
      <c r="L6" s="181">
        <f>1000*(L3*K3+L4*K4+L5*K5)</f>
        <v>0</v>
      </c>
      <c r="M6" s="181">
        <f>SUM(M3:M5)</f>
        <v>0</v>
      </c>
    </row>
    <row r="7" spans="2:13" ht="11.25" customHeight="1" thickBot="1">
      <c r="B7" s="52"/>
      <c r="C7" s="50"/>
      <c r="D7" s="50"/>
      <c r="E7" s="50"/>
      <c r="F7" s="50"/>
      <c r="G7" s="50"/>
      <c r="H7" s="17"/>
      <c r="J7" s="180"/>
      <c r="K7" s="21"/>
      <c r="L7" s="182"/>
      <c r="M7" s="182"/>
    </row>
    <row r="8" spans="2:8" ht="16.5" customHeight="1" thickBot="1">
      <c r="B8" s="165" t="s">
        <v>58</v>
      </c>
      <c r="C8" s="166"/>
      <c r="D8" s="166"/>
      <c r="E8" s="166"/>
      <c r="F8" s="166"/>
      <c r="G8" s="166"/>
      <c r="H8" s="167"/>
    </row>
    <row r="9" spans="2:13" ht="16.5" customHeight="1">
      <c r="B9" s="183" t="s">
        <v>76</v>
      </c>
      <c r="C9" s="119" t="s">
        <v>2</v>
      </c>
      <c r="D9" s="184"/>
      <c r="E9" s="176" t="s">
        <v>56</v>
      </c>
      <c r="F9" s="201" t="s">
        <v>57</v>
      </c>
      <c r="G9" s="176" t="s">
        <v>8</v>
      </c>
      <c r="H9" s="176" t="s">
        <v>9</v>
      </c>
      <c r="J9" s="162" t="s">
        <v>52</v>
      </c>
      <c r="K9" s="163"/>
      <c r="L9" s="164"/>
      <c r="M9" s="22" t="s">
        <v>25</v>
      </c>
    </row>
    <row r="10" spans="2:13" ht="16.5" customHeight="1" thickBot="1">
      <c r="B10" s="119"/>
      <c r="C10" s="112"/>
      <c r="D10" s="148"/>
      <c r="E10" s="200"/>
      <c r="F10" s="202"/>
      <c r="G10" s="177"/>
      <c r="H10" s="177"/>
      <c r="J10" s="23" t="s">
        <v>49</v>
      </c>
      <c r="K10" s="24">
        <v>0.8</v>
      </c>
      <c r="L10" s="11">
        <f>IF($H$23=0,0,$H$25)</f>
        <v>0</v>
      </c>
      <c r="M10" s="11">
        <f>ROUND(L10*K10*1000,0)</f>
        <v>0</v>
      </c>
    </row>
    <row r="11" spans="2:13" ht="16.5" customHeight="1">
      <c r="B11" s="153" t="s">
        <v>10</v>
      </c>
      <c r="C11" s="168" t="str">
        <f>IF(A93=1,B93,IF(OR(A93=2,A93=3,A93=4),B97,""))</f>
        <v>Αρχαία Ελληνικά</v>
      </c>
      <c r="D11" s="169"/>
      <c r="E11" s="59"/>
      <c r="F11" s="94">
        <f aca="true" t="shared" si="0" ref="F11:F17">IF(E11="","",IF(G11-E11&gt;2,G11-2,IF(E11-G11&gt;2,G11+2,E11)))</f>
      </c>
      <c r="G11" s="59"/>
      <c r="H11" s="76">
        <f>IF(G11="",0,IF(F11="",G11,ROUND(0.7*G11+0.3*F11,1)))</f>
        <v>0</v>
      </c>
      <c r="J11" s="13" t="str">
        <f>IF($A$93=1,I95,IF(OR($A$93=2,$A$93=3,$A$93=4),D95,""))</f>
        <v>Μαθματικά &amp; Στοιχεία Στατιστικής Γενικής Παιδείας</v>
      </c>
      <c r="K11" s="14">
        <f>IF($A$93=1,G95,IF(OR($A$93=2,$A$93=3,$A$93=4),G93,""))</f>
        <v>0.09</v>
      </c>
      <c r="L11" s="16">
        <f>IF($A$93=1,H16,IF(OR($A$93=2,$A$93=3,$A$93=4),H11,""))</f>
        <v>0</v>
      </c>
      <c r="M11" s="16">
        <f>ROUND(L11*K11*1000,0)</f>
        <v>0</v>
      </c>
    </row>
    <row r="12" spans="2:13" ht="17.25" customHeight="1">
      <c r="B12" s="154"/>
      <c r="C12" s="170" t="str">
        <f>IF(A93=1,B94,IF(OR(A93=2,A93=3,A93=4),B98,""))</f>
        <v>Νεοελληνική Λογοτεχνία</v>
      </c>
      <c r="D12" s="171"/>
      <c r="E12" s="58"/>
      <c r="F12" s="95">
        <f t="shared" si="0"/>
      </c>
      <c r="G12" s="58"/>
      <c r="H12" s="77">
        <f aca="true" t="shared" si="1" ref="H12:H17">IF(G12="",0,IF(F12="",G12,ROUND(0.7*G12+0.3*F12,1)))</f>
        <v>0</v>
      </c>
      <c r="J12" s="18" t="str">
        <f>IF($A$93=1,I93,IF(OR($A$93=2,$A$93=3,$A$93=4),D96,""))</f>
        <v>Νεοελληνική Γλώσσα Γενικής Παιδείας</v>
      </c>
      <c r="K12" s="19">
        <f>IF($A$93=1,G96,IF(OR($A$93=2,$A$93=3,$A$93=4),G94,""))</f>
        <v>0.04</v>
      </c>
      <c r="L12" s="15">
        <f>IF($A$93=1,H15,IF(OR($A$93=2,$A$93=3,$A$93=4),H12,""))</f>
        <v>0</v>
      </c>
      <c r="M12" s="15">
        <f>ROUND(L12*K12*1000,0)</f>
        <v>0</v>
      </c>
    </row>
    <row r="13" spans="2:13" ht="17.25" customHeight="1">
      <c r="B13" s="154"/>
      <c r="C13" s="172" t="str">
        <f>IF(A93=1,B95,IF(A93=2,B99,IF(A93=3,B101,IF(A93=4,B103,""))))</f>
        <v>Λατινικά</v>
      </c>
      <c r="D13" s="173"/>
      <c r="E13" s="58"/>
      <c r="F13" s="95">
        <f t="shared" si="0"/>
      </c>
      <c r="G13" s="58"/>
      <c r="H13" s="77">
        <f t="shared" si="1"/>
        <v>0</v>
      </c>
      <c r="J13" s="25" t="s">
        <v>0</v>
      </c>
      <c r="K13" s="26"/>
      <c r="L13" s="27">
        <f>1000*(L10*K10+L11*K11+L12*K12)</f>
        <v>0</v>
      </c>
      <c r="M13" s="27">
        <f>SUM(M10:M12)</f>
        <v>0</v>
      </c>
    </row>
    <row r="14" spans="2:8" ht="17.25" customHeight="1" thickBot="1">
      <c r="B14" s="155"/>
      <c r="C14" s="174" t="str">
        <f>IF(A93=1,B96,IF(A93=2,B100,IF(A93=3,B102,IF(A93=4,B104,""))))</f>
        <v>Ιστορία</v>
      </c>
      <c r="D14" s="175"/>
      <c r="E14" s="60"/>
      <c r="F14" s="96">
        <f t="shared" si="0"/>
      </c>
      <c r="G14" s="60"/>
      <c r="H14" s="78">
        <f t="shared" si="1"/>
        <v>0</v>
      </c>
    </row>
    <row r="15" spans="2:13" ht="17.25" customHeight="1" thickBot="1">
      <c r="B15" s="66" t="s">
        <v>65</v>
      </c>
      <c r="C15" s="142" t="s">
        <v>22</v>
      </c>
      <c r="D15" s="143"/>
      <c r="E15" s="75"/>
      <c r="F15" s="98">
        <f t="shared" si="0"/>
      </c>
      <c r="G15" s="75"/>
      <c r="H15" s="87">
        <f t="shared" si="1"/>
        <v>0</v>
      </c>
      <c r="J15" s="162" t="s">
        <v>53</v>
      </c>
      <c r="K15" s="163"/>
      <c r="L15" s="164"/>
      <c r="M15" s="22" t="s">
        <v>25</v>
      </c>
    </row>
    <row r="16" spans="2:17" ht="17.25" customHeight="1" thickBot="1">
      <c r="B16" s="66" t="s">
        <v>66</v>
      </c>
      <c r="C16" s="85" t="s">
        <v>18</v>
      </c>
      <c r="D16" s="86"/>
      <c r="E16" s="75"/>
      <c r="F16" s="99">
        <f t="shared" si="0"/>
      </c>
      <c r="G16" s="75"/>
      <c r="H16" s="87">
        <f t="shared" si="1"/>
        <v>0</v>
      </c>
      <c r="J16" s="23" t="s">
        <v>49</v>
      </c>
      <c r="K16" s="10">
        <v>0.8</v>
      </c>
      <c r="L16" s="11">
        <f>IF($H$23=0,0,$H$25)</f>
        <v>0</v>
      </c>
      <c r="M16" s="11">
        <f>ROUND(L16*K16*1000,0)</f>
        <v>0</v>
      </c>
      <c r="O16" s="28"/>
      <c r="P16" s="29"/>
      <c r="Q16" s="30"/>
    </row>
    <row r="17" spans="2:17" ht="17.25" customHeight="1" thickBot="1">
      <c r="B17" s="33" t="s">
        <v>11</v>
      </c>
      <c r="C17" s="147" t="s">
        <v>55</v>
      </c>
      <c r="D17" s="147"/>
      <c r="E17" s="61"/>
      <c r="F17" s="97">
        <f t="shared" si="0"/>
      </c>
      <c r="G17" s="61"/>
      <c r="H17" s="79">
        <f t="shared" si="1"/>
        <v>0</v>
      </c>
      <c r="J17" s="13" t="str">
        <f>IF($A$93=2,D98,IF(OR($A$93=1,$A$93=3,$A$93=4),I96,""))</f>
        <v>Βιολογία Γενικής Παιδείας</v>
      </c>
      <c r="K17" s="14">
        <f>IF($A$93=2,G93,IF(OR($A$93=1,$A$93=3,$A$93=4),G95,""))</f>
        <v>0.09</v>
      </c>
      <c r="L17" s="16">
        <f>IF($A$93=2,H14,IF(OR($A$93=1,$A$93=3,$A$93=4),H16,""))</f>
        <v>0</v>
      </c>
      <c r="M17" s="16">
        <f>ROUND(L17*K17*1000,0)</f>
        <v>0</v>
      </c>
      <c r="O17" s="28"/>
      <c r="P17" s="29"/>
      <c r="Q17" s="30"/>
    </row>
    <row r="18" spans="10:17" ht="17.25" customHeight="1">
      <c r="J18" s="18" t="str">
        <f>IF($A$93=2,D97,IF(OR($A$93=1,$A$93=3,$A$93=4),I93,""))</f>
        <v>Νεοελληνική Γλώσσα Γενικής Παιδείας</v>
      </c>
      <c r="K18" s="19">
        <f>IF($A$93=2,G94,IF(OR($A$93=1,$A$93=3,$A$93=4),G96,""))</f>
        <v>0.04</v>
      </c>
      <c r="L18" s="16">
        <f>IF($A$93=2,H13,IF(OR($A$93=1,$A$93=3,$A$93=4),H15,""))</f>
        <v>0</v>
      </c>
      <c r="M18" s="15">
        <f>ROUND(L18*K18*1000,0)</f>
        <v>0</v>
      </c>
      <c r="O18" s="28"/>
      <c r="P18" s="29"/>
      <c r="Q18" s="30"/>
    </row>
    <row r="19" spans="2:17" ht="17.25" customHeight="1">
      <c r="B19" s="151" t="s">
        <v>13</v>
      </c>
      <c r="C19" s="152"/>
      <c r="E19" s="148" t="s">
        <v>12</v>
      </c>
      <c r="F19" s="149"/>
      <c r="G19" s="150"/>
      <c r="H19" s="37">
        <f>IF($A$100,ROUND(SUM(H11:H17)/7,2),ROUND(SUM(H11:H16)/6,2))</f>
        <v>0</v>
      </c>
      <c r="J19" s="25" t="s">
        <v>0</v>
      </c>
      <c r="K19" s="26"/>
      <c r="L19" s="27">
        <f>1000*(L16*K16+L17*K17+L18*K18)</f>
        <v>0</v>
      </c>
      <c r="M19" s="27">
        <f>SUM(M16:M18)</f>
        <v>0</v>
      </c>
      <c r="O19" s="31"/>
      <c r="P19" s="29"/>
      <c r="Q19" s="32"/>
    </row>
    <row r="20" spans="2:19" ht="17.25" customHeight="1">
      <c r="B20" s="120" t="s">
        <v>78</v>
      </c>
      <c r="C20" s="121"/>
      <c r="K20" s="34"/>
      <c r="L20" s="35"/>
      <c r="S20" s="100"/>
    </row>
    <row r="21" spans="2:13" ht="16.5" customHeight="1">
      <c r="B21" s="122"/>
      <c r="C21" s="123"/>
      <c r="E21" s="199" t="s">
        <v>14</v>
      </c>
      <c r="F21" s="199"/>
      <c r="G21" s="199"/>
      <c r="H21" s="199"/>
      <c r="J21" s="162" t="s">
        <v>54</v>
      </c>
      <c r="K21" s="163"/>
      <c r="L21" s="164"/>
      <c r="M21" s="22" t="s">
        <v>25</v>
      </c>
    </row>
    <row r="22" spans="2:13" ht="16.5" customHeight="1">
      <c r="B22" s="122"/>
      <c r="C22" s="123"/>
      <c r="E22" s="203" t="s">
        <v>15</v>
      </c>
      <c r="F22" s="204"/>
      <c r="G22" s="205"/>
      <c r="H22" s="91">
        <v>0</v>
      </c>
      <c r="J22" s="23" t="s">
        <v>49</v>
      </c>
      <c r="K22" s="10">
        <v>0.8</v>
      </c>
      <c r="L22" s="11">
        <f>IF($H$23=0,0,$H$25)</f>
        <v>0</v>
      </c>
      <c r="M22" s="11">
        <f>ROUND(L22*K22*1000,0)</f>
        <v>0</v>
      </c>
    </row>
    <row r="23" spans="2:13" ht="16.5" customHeight="1">
      <c r="B23" s="122"/>
      <c r="C23" s="123"/>
      <c r="E23" s="148" t="s">
        <v>16</v>
      </c>
      <c r="F23" s="149"/>
      <c r="G23" s="206"/>
      <c r="H23" s="37">
        <f>H19</f>
        <v>0</v>
      </c>
      <c r="J23" s="13" t="str">
        <f>IF($A$93=1,I95,IF(OR($A$93=2,$A$93=3,$A$93=4),D95,""))</f>
        <v>Μαθματικά &amp; Στοιχεία Στατιστικής Γενικής Παιδείας</v>
      </c>
      <c r="K23" s="14">
        <f>IF($A$93=1,G95,IF(OR($A$93=2,$A$93=3,$A$93=4),G93,""))</f>
        <v>0.09</v>
      </c>
      <c r="L23" s="16">
        <f>IF($A$93=1,H16,IF(OR($A$93=2,$A$93=3,$A$93=4),H11,""))</f>
        <v>0</v>
      </c>
      <c r="M23" s="16">
        <f>ROUND(L23*K23*1000,0)</f>
        <v>0</v>
      </c>
    </row>
    <row r="24" spans="2:13" ht="16.5" customHeight="1">
      <c r="B24" s="122"/>
      <c r="C24" s="123"/>
      <c r="G24" s="107"/>
      <c r="J24" s="18" t="str">
        <f>IF($A$93=1,I93,IF(OR($A$93=2,$A$93=3,$A$93=4),D96,""))</f>
        <v>Νεοελληνική Γλώσσα Γενικής Παιδείας</v>
      </c>
      <c r="K24" s="19">
        <f>IF($A$93=1,G96,IF(OR($A$93=2,$A$93=3,$A$93=4),G94,""))</f>
        <v>0.04</v>
      </c>
      <c r="L24" s="15">
        <f>IF($A$93=1,H15,IF(OR($A$93=2,$A$93=3,$A$93=4),H12,""))</f>
        <v>0</v>
      </c>
      <c r="M24" s="15">
        <f>ROUND(L24*K24*1000,0)</f>
        <v>0</v>
      </c>
    </row>
    <row r="25" spans="2:13" ht="16.5" customHeight="1">
      <c r="B25" s="122"/>
      <c r="C25" s="123"/>
      <c r="E25" s="148" t="s">
        <v>14</v>
      </c>
      <c r="F25" s="149"/>
      <c r="G25" s="207"/>
      <c r="H25" s="108">
        <f>IF(H22&lt;=H23,H23,ROUND((0.7*H23+0.3*H22),2))</f>
        <v>0</v>
      </c>
      <c r="J25" s="25" t="s">
        <v>0</v>
      </c>
      <c r="K25" s="26"/>
      <c r="L25" s="27">
        <f>1000*(L22*K22+L23*K23+L24*K24)</f>
        <v>0</v>
      </c>
      <c r="M25" s="27">
        <f>SUM(M22:M24)</f>
        <v>0</v>
      </c>
    </row>
    <row r="26" spans="2:7" ht="16.5" customHeight="1">
      <c r="B26" s="122"/>
      <c r="C26" s="123"/>
      <c r="G26" s="35"/>
    </row>
    <row r="27" spans="2:13" ht="16.5" customHeight="1">
      <c r="B27" s="122"/>
      <c r="C27" s="123"/>
      <c r="E27" s="126" t="s">
        <v>59</v>
      </c>
      <c r="F27" s="127"/>
      <c r="G27" s="130"/>
      <c r="H27" s="128"/>
      <c r="J27" s="159" t="s">
        <v>50</v>
      </c>
      <c r="K27" s="160"/>
      <c r="L27" s="161"/>
      <c r="M27" s="4" t="s">
        <v>25</v>
      </c>
    </row>
    <row r="28" spans="2:13" ht="16.5" customHeight="1">
      <c r="B28" s="122"/>
      <c r="C28" s="123"/>
      <c r="E28" s="129"/>
      <c r="F28" s="130"/>
      <c r="G28" s="130"/>
      <c r="H28" s="131"/>
      <c r="J28" s="23">
        <f>IF(G17="","",IF($A$100,"Γενικός Βαθμός Πρόσβασης",""))</f>
      </c>
      <c r="K28" s="10">
        <f>IF(G17="","",IF($A$100,80%,""))</f>
      </c>
      <c r="L28" s="11">
        <f>IF(G17="","",IF($A$100,$H$25,""))</f>
      </c>
      <c r="M28" s="11">
        <f>IF(G17="","",IF($A$100,ROUND(L28*K28*1000,0),""))</f>
      </c>
    </row>
    <row r="29" spans="2:13" ht="16.5" customHeight="1">
      <c r="B29" s="124"/>
      <c r="C29" s="125"/>
      <c r="E29" s="132"/>
      <c r="F29" s="133"/>
      <c r="G29" s="133"/>
      <c r="H29" s="134"/>
      <c r="J29" s="13" t="str">
        <f>IF(AND(G17="",$A$100),"Δεν υπάρχει γραπτός στον ΑΟΘ",IF($A$100,"Αρχές Οικονομικής Θεωρίας Επιλογής","Το μάθημα ΑΟΘ δεν εξετάστηκε πανελλαδικά"))</f>
        <v>Δεν υπάρχει γραπτός στον ΑΟΘ</v>
      </c>
      <c r="K29" s="14">
        <f>IF(G17="","",IF($A$100,13%,""))</f>
      </c>
      <c r="L29" s="11">
        <f>IF(G17="","",IF($A$100,H17,""))</f>
      </c>
      <c r="M29" s="11">
        <f>IF(G17="","",IF($A$100,ROUND(L29*K29*1000,0),""))</f>
      </c>
    </row>
    <row r="30" spans="2:13" ht="16.5" customHeight="1">
      <c r="B30" s="135" t="s">
        <v>67</v>
      </c>
      <c r="C30" s="135"/>
      <c r="D30" s="50"/>
      <c r="E30" s="93"/>
      <c r="F30" s="93"/>
      <c r="G30" s="93"/>
      <c r="H30" s="93"/>
      <c r="J30" s="18">
        <f>IF(G17="","",IF($A$100,"Μαθηματικά &amp; Στατιστική Γενικής Παιδείας",""))</f>
      </c>
      <c r="K30" s="19">
        <f>IF(G17="","",IF($A$100,7%,""))</f>
      </c>
      <c r="L30" s="11">
        <f>IF(G17="","",IF($A$100,H16,""))</f>
      </c>
      <c r="M30" s="11">
        <f>IF(G17="","",IF($A$100,ROUND(L30*K30*1000,0),""))</f>
      </c>
    </row>
    <row r="31" spans="2:13" ht="16.5" customHeight="1">
      <c r="B31" s="196">
        <f>IF(H19=0,"",CONCATENATE(Q100,Q101,R101,S101,T101,U101,V101))</f>
      </c>
      <c r="C31" s="197"/>
      <c r="D31" s="197"/>
      <c r="E31" s="197"/>
      <c r="F31" s="197"/>
      <c r="G31" s="197"/>
      <c r="H31" s="198"/>
      <c r="J31" s="25" t="s">
        <v>0</v>
      </c>
      <c r="K31" s="26"/>
      <c r="L31" s="27">
        <f>IF(G17="","",IF($A$100,1000*(L28*K28+L29*K29+L30*K30),""))</f>
      </c>
      <c r="M31" s="27">
        <f>IF(G17="","",IF($A$100,SUM(M28:M30),""))</f>
      </c>
    </row>
    <row r="35" spans="2:9" ht="16.5" customHeight="1">
      <c r="B35" s="50"/>
      <c r="C35" s="50"/>
      <c r="D35" s="50"/>
      <c r="E35" s="50"/>
      <c r="F35" s="50"/>
      <c r="G35" s="50"/>
      <c r="H35" s="50"/>
      <c r="I35" s="50"/>
    </row>
    <row r="36" spans="2:9" ht="16.5" customHeight="1">
      <c r="B36" s="36"/>
      <c r="C36" s="45"/>
      <c r="D36" s="45"/>
      <c r="E36" s="88"/>
      <c r="F36" s="45"/>
      <c r="G36" s="88"/>
      <c r="H36" s="45"/>
      <c r="I36" s="50"/>
    </row>
    <row r="37" spans="2:9" ht="16.5" customHeight="1">
      <c r="B37" s="89"/>
      <c r="C37" s="36"/>
      <c r="D37" s="36"/>
      <c r="E37" s="36"/>
      <c r="F37" s="36"/>
      <c r="G37" s="36"/>
      <c r="H37" s="36"/>
      <c r="I37" s="50"/>
    </row>
    <row r="38" spans="2:9" ht="16.5" customHeight="1">
      <c r="B38" s="50"/>
      <c r="C38" s="50"/>
      <c r="D38" s="50"/>
      <c r="E38" s="50"/>
      <c r="F38" s="50"/>
      <c r="G38" s="50"/>
      <c r="H38" s="50"/>
      <c r="I38" s="50"/>
    </row>
    <row r="39" spans="2:9" ht="16.5" customHeight="1">
      <c r="B39" s="36"/>
      <c r="C39" s="90"/>
      <c r="D39" s="90"/>
      <c r="E39" s="88"/>
      <c r="F39" s="45"/>
      <c r="G39" s="88"/>
      <c r="H39" s="45"/>
      <c r="I39" s="50"/>
    </row>
    <row r="92" ht="16.5" customHeight="1" hidden="1" thickBot="1">
      <c r="B92" s="2" t="s">
        <v>45</v>
      </c>
    </row>
    <row r="93" spans="1:18" ht="16.5" customHeight="1" hidden="1">
      <c r="A93" s="1">
        <v>1</v>
      </c>
      <c r="B93" s="38" t="s">
        <v>30</v>
      </c>
      <c r="D93" s="139" t="s">
        <v>39</v>
      </c>
      <c r="E93" s="140"/>
      <c r="G93" s="39">
        <v>0.13</v>
      </c>
      <c r="I93" s="40" t="s">
        <v>46</v>
      </c>
      <c r="K93" s="3" t="s">
        <v>33</v>
      </c>
      <c r="Q93" s="51" t="s">
        <v>68</v>
      </c>
      <c r="R93" s="51" t="s">
        <v>69</v>
      </c>
    </row>
    <row r="94" spans="2:18" ht="16.5" customHeight="1" hidden="1" thickBot="1">
      <c r="B94" s="41" t="s">
        <v>31</v>
      </c>
      <c r="D94" s="136" t="s">
        <v>40</v>
      </c>
      <c r="E94" s="137"/>
      <c r="G94" s="39">
        <v>0.07</v>
      </c>
      <c r="I94" s="40" t="s">
        <v>47</v>
      </c>
      <c r="K94" s="3" t="s">
        <v>34</v>
      </c>
      <c r="Q94" s="51" t="s">
        <v>70</v>
      </c>
      <c r="R94" s="101">
        <f>M6</f>
        <v>0</v>
      </c>
    </row>
    <row r="95" spans="2:18" ht="16.5" customHeight="1" hidden="1">
      <c r="B95" s="41" t="s">
        <v>32</v>
      </c>
      <c r="D95" s="139" t="s">
        <v>41</v>
      </c>
      <c r="E95" s="140"/>
      <c r="G95" s="39">
        <v>0.09</v>
      </c>
      <c r="I95" s="40" t="s">
        <v>48</v>
      </c>
      <c r="K95" s="3" t="s">
        <v>35</v>
      </c>
      <c r="Q95" s="51" t="s">
        <v>71</v>
      </c>
      <c r="R95" s="101">
        <f>M13</f>
        <v>0</v>
      </c>
    </row>
    <row r="96" spans="2:18" ht="16.5" customHeight="1" hidden="1" thickBot="1">
      <c r="B96" s="42" t="s">
        <v>23</v>
      </c>
      <c r="D96" s="136" t="s">
        <v>42</v>
      </c>
      <c r="E96" s="137"/>
      <c r="G96" s="39">
        <v>0.04</v>
      </c>
      <c r="I96" s="40" t="s">
        <v>63</v>
      </c>
      <c r="K96" s="3" t="s">
        <v>36</v>
      </c>
      <c r="Q96" s="51" t="s">
        <v>72</v>
      </c>
      <c r="R96" s="101">
        <f>M19</f>
        <v>0</v>
      </c>
    </row>
    <row r="97" spans="2:18" ht="16.5" customHeight="1" hidden="1">
      <c r="B97" s="43" t="s">
        <v>20</v>
      </c>
      <c r="C97" s="44"/>
      <c r="D97" s="139" t="s">
        <v>27</v>
      </c>
      <c r="E97" s="140"/>
      <c r="H97" s="45"/>
      <c r="I97" s="45" t="s">
        <v>64</v>
      </c>
      <c r="K97" s="3" t="s">
        <v>37</v>
      </c>
      <c r="Q97" s="51" t="s">
        <v>73</v>
      </c>
      <c r="R97" s="101">
        <f>M25</f>
        <v>0</v>
      </c>
    </row>
    <row r="98" spans="2:18" ht="16.5" customHeight="1" hidden="1" thickBot="1">
      <c r="B98" s="46" t="s">
        <v>18</v>
      </c>
      <c r="C98" s="47"/>
      <c r="D98" s="136" t="s">
        <v>43</v>
      </c>
      <c r="E98" s="137"/>
      <c r="J98" s="48"/>
      <c r="Q98" s="51" t="s">
        <v>74</v>
      </c>
      <c r="R98" s="101">
        <f>M31</f>
      </c>
    </row>
    <row r="99" spans="2:18" ht="16.5" customHeight="1" hidden="1" thickBot="1">
      <c r="B99" s="41" t="s">
        <v>26</v>
      </c>
      <c r="C99" s="48"/>
      <c r="D99" s="156" t="s">
        <v>44</v>
      </c>
      <c r="E99" s="157"/>
      <c r="I99" s="80" t="s">
        <v>47</v>
      </c>
      <c r="J99" s="81"/>
      <c r="Q99" s="51"/>
      <c r="R99" s="51"/>
    </row>
    <row r="100" spans="1:18" ht="16.5" customHeight="1" hidden="1" thickBot="1">
      <c r="A100" s="1" t="b">
        <v>1</v>
      </c>
      <c r="B100" s="42" t="s">
        <v>19</v>
      </c>
      <c r="C100" s="49"/>
      <c r="D100" s="50"/>
      <c r="E100" s="50"/>
      <c r="I100" s="80" t="s">
        <v>17</v>
      </c>
      <c r="J100" s="81"/>
      <c r="Q100" s="195" t="str">
        <f>IF(MAX(R94,R95,R96,R97,R98)&gt;=10000,"Μπορείς να περάσεις από το","Δεν περνάς από κανένα")</f>
        <v>Δεν περνάς από κανένα</v>
      </c>
      <c r="R100" s="195"/>
    </row>
    <row r="101" spans="2:22" ht="16.5" customHeight="1" hidden="1">
      <c r="B101" s="38" t="s">
        <v>24</v>
      </c>
      <c r="C101" s="48"/>
      <c r="D101" s="45"/>
      <c r="E101" s="45"/>
      <c r="I101" s="80" t="s">
        <v>64</v>
      </c>
      <c r="J101" s="82"/>
      <c r="Q101" s="102">
        <f>IF(R94&gt;=10000,"  1ο,","")</f>
      </c>
      <c r="R101" s="102">
        <f>IF(R95&gt;=10000,"  2ο,","")</f>
      </c>
      <c r="S101" s="102">
        <f>IF(R96&gt;=10000,"  3ο,","")</f>
      </c>
      <c r="T101" s="102">
        <f>IF(R97&gt;=10000,"  4ο,","")</f>
      </c>
      <c r="U101" s="102">
        <f>IF(R98="","",IF(R98&gt;=10000,"  5ο,",""))</f>
      </c>
      <c r="V101" s="103" t="s">
        <v>75</v>
      </c>
    </row>
    <row r="102" spans="2:10" ht="16.5" customHeight="1" hidden="1" thickBot="1">
      <c r="B102" s="42" t="s">
        <v>21</v>
      </c>
      <c r="C102" s="49"/>
      <c r="D102" s="45"/>
      <c r="E102" s="45"/>
      <c r="I102" s="83" t="s">
        <v>63</v>
      </c>
      <c r="J102" s="84"/>
    </row>
    <row r="103" spans="2:5" ht="16.5" customHeight="1" hidden="1">
      <c r="B103" s="38" t="s">
        <v>28</v>
      </c>
      <c r="C103" s="48"/>
      <c r="D103" s="50"/>
      <c r="E103" s="45"/>
    </row>
    <row r="104" spans="2:5" ht="16.5" customHeight="1" hidden="1" thickBot="1">
      <c r="B104" s="42" t="s">
        <v>29</v>
      </c>
      <c r="C104" s="49"/>
      <c r="D104" s="45"/>
      <c r="E104" s="45"/>
    </row>
  </sheetData>
  <sheetProtection password="EBB3" sheet="1" objects="1" scenarios="1" selectLockedCells="1"/>
  <mergeCells count="44">
    <mergeCell ref="E22:G22"/>
    <mergeCell ref="E23:G23"/>
    <mergeCell ref="E25:G25"/>
    <mergeCell ref="E27:H29"/>
    <mergeCell ref="E19:G19"/>
    <mergeCell ref="B19:C19"/>
    <mergeCell ref="B11:B14"/>
    <mergeCell ref="D99:E99"/>
    <mergeCell ref="C13:D13"/>
    <mergeCell ref="C14:D14"/>
    <mergeCell ref="B20:C29"/>
    <mergeCell ref="B30:C30"/>
    <mergeCell ref="C15:D15"/>
    <mergeCell ref="C17:D17"/>
    <mergeCell ref="J2:L2"/>
    <mergeCell ref="J9:L9"/>
    <mergeCell ref="J15:L15"/>
    <mergeCell ref="J21:L21"/>
    <mergeCell ref="J27:L27"/>
    <mergeCell ref="B8:H8"/>
    <mergeCell ref="D93:E93"/>
    <mergeCell ref="D98:E98"/>
    <mergeCell ref="D94:E94"/>
    <mergeCell ref="D95:E95"/>
    <mergeCell ref="D96:E96"/>
    <mergeCell ref="D97:E97"/>
    <mergeCell ref="C11:D11"/>
    <mergeCell ref="C12:D12"/>
    <mergeCell ref="H9:H10"/>
    <mergeCell ref="D5:G6"/>
    <mergeCell ref="J6:J7"/>
    <mergeCell ref="L6:L7"/>
    <mergeCell ref="E9:E10"/>
    <mergeCell ref="F9:F10"/>
    <mergeCell ref="Q100:R100"/>
    <mergeCell ref="B31:H31"/>
    <mergeCell ref="B2:H2"/>
    <mergeCell ref="B5:C6"/>
    <mergeCell ref="D3:G3"/>
    <mergeCell ref="M6:M7"/>
    <mergeCell ref="B9:B10"/>
    <mergeCell ref="C9:D10"/>
    <mergeCell ref="G9:G10"/>
    <mergeCell ref="E21:H21"/>
  </mergeCells>
  <conditionalFormatting sqref="J5 J12 J18 J24 J30">
    <cfRule type="expression" priority="1" dxfId="0" stopIfTrue="1">
      <formula>$K5&lt;&gt;7%</formula>
    </cfRule>
  </conditionalFormatting>
  <conditionalFormatting sqref="J4">
    <cfRule type="expression" priority="2" dxfId="0" stopIfTrue="1">
      <formula>$K$4&lt;&gt;13%</formula>
    </cfRule>
  </conditionalFormatting>
  <conditionalFormatting sqref="J11">
    <cfRule type="expression" priority="3" dxfId="0" stopIfTrue="1">
      <formula>$K$11&lt;&gt;13%</formula>
    </cfRule>
  </conditionalFormatting>
  <conditionalFormatting sqref="J17">
    <cfRule type="expression" priority="4" dxfId="0" stopIfTrue="1">
      <formula>$K$17&lt;&gt;13%</formula>
    </cfRule>
  </conditionalFormatting>
  <conditionalFormatting sqref="J23">
    <cfRule type="expression" priority="5" dxfId="0" stopIfTrue="1">
      <formula>$K$23&lt;&gt;13%</formula>
    </cfRule>
  </conditionalFormatting>
  <conditionalFormatting sqref="J29">
    <cfRule type="expression" priority="6" dxfId="0" stopIfTrue="1">
      <formula>$K$29&lt;&gt;13%</formula>
    </cfRule>
  </conditionalFormatting>
  <conditionalFormatting sqref="B31:H31">
    <cfRule type="expression" priority="7" dxfId="0" stopIfTrue="1">
      <formula>$H$19=0</formula>
    </cfRule>
    <cfRule type="expression" priority="8" dxfId="1" stopIfTrue="1">
      <formula>$Q$100="Μπορείς να περάσεις από το"</formula>
    </cfRule>
    <cfRule type="expression" priority="9" dxfId="2" stopIfTrue="1">
      <formula>$Q$100="Δεν περνάς από κανένα"</formula>
    </cfRule>
  </conditionalFormatting>
  <dataValidations count="2">
    <dataValidation type="decimal" allowBlank="1" showInputMessage="1" showErrorMessage="1" errorTitle="ΠΡΟΣΟΧΗ" error="Ο βαθμός που εισάγετε πρέπει να είναι μεταξύ 0 και 20" sqref="H22 E11:E15 E17 G17 G11:G15">
      <formula1>0</formula1>
      <formula2>20</formula2>
    </dataValidation>
    <dataValidation type="list" allowBlank="1" showInputMessage="1" showErrorMessage="1" sqref="C39:D39 C16:D16">
      <formula1>Γενικής</formula1>
    </dataValidation>
  </dataValidations>
  <printOptions horizontalCentered="1" verticalCentered="1"/>
  <pageMargins left="0.1968503937007874" right="0.54" top="0.5511811023622047" bottom="0.7086614173228347" header="0.5118110236220472" footer="0.5118110236220472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V104"/>
  <sheetViews>
    <sheetView showGridLines="0" showRowColHeaders="0" showZeros="0" showOutlineSymbols="0" defaultGridColor="0" zoomScale="75" zoomScaleNormal="75" colorId="21" workbookViewId="0" topLeftCell="A1">
      <selection activeCell="H11" sqref="H11"/>
    </sheetView>
  </sheetViews>
  <sheetFormatPr defaultColWidth="9.140625" defaultRowHeight="16.5" customHeight="1"/>
  <cols>
    <col min="1" max="1" width="1.28515625" style="2" customWidth="1"/>
    <col min="2" max="2" width="12.421875" style="2" customWidth="1"/>
    <col min="3" max="3" width="24.7109375" style="2" customWidth="1"/>
    <col min="4" max="4" width="1.57421875" style="2" customWidth="1"/>
    <col min="5" max="5" width="11.8515625" style="2" customWidth="1"/>
    <col min="6" max="6" width="7.421875" style="2" customWidth="1"/>
    <col min="7" max="7" width="9.57421875" style="2" customWidth="1"/>
    <col min="8" max="8" width="9.7109375" style="2" customWidth="1"/>
    <col min="9" max="9" width="1.7109375" style="2" customWidth="1"/>
    <col min="10" max="10" width="36.00390625" style="2" customWidth="1"/>
    <col min="11" max="11" width="4.7109375" style="2" customWidth="1"/>
    <col min="12" max="12" width="6.8515625" style="2" customWidth="1"/>
    <col min="13" max="13" width="7.7109375" style="2" customWidth="1"/>
    <col min="14" max="17" width="9.140625" style="2" customWidth="1"/>
    <col min="18" max="18" width="13.140625" style="2" bestFit="1" customWidth="1"/>
    <col min="19" max="16384" width="9.140625" style="2" customWidth="1"/>
  </cols>
  <sheetData>
    <row r="1" ht="10.5" customHeight="1"/>
    <row r="2" spans="2:14" ht="16.5" customHeight="1">
      <c r="B2" s="187" t="s">
        <v>62</v>
      </c>
      <c r="C2" s="188"/>
      <c r="D2" s="188"/>
      <c r="E2" s="188"/>
      <c r="F2" s="188"/>
      <c r="G2" s="188"/>
      <c r="H2" s="189"/>
      <c r="J2" s="159" t="s">
        <v>51</v>
      </c>
      <c r="K2" s="160"/>
      <c r="L2" s="161"/>
      <c r="M2" s="4" t="s">
        <v>25</v>
      </c>
      <c r="N2" s="5"/>
    </row>
    <row r="3" spans="2:13" ht="16.5" customHeight="1">
      <c r="B3" s="6"/>
      <c r="C3" s="7" t="s">
        <v>1</v>
      </c>
      <c r="D3" s="192"/>
      <c r="E3" s="193"/>
      <c r="F3" s="193"/>
      <c r="G3" s="194"/>
      <c r="H3" s="8"/>
      <c r="J3" s="9" t="s">
        <v>49</v>
      </c>
      <c r="K3" s="10">
        <v>0.8</v>
      </c>
      <c r="L3" s="11">
        <f>IF(H23=0,0,$H$25)</f>
        <v>0</v>
      </c>
      <c r="M3" s="11">
        <f>ROUND(L3*K3*1000,0)</f>
        <v>0</v>
      </c>
    </row>
    <row r="4" spans="2:13" ht="16.5" customHeight="1">
      <c r="B4" s="6"/>
      <c r="C4" s="12"/>
      <c r="D4" s="12"/>
      <c r="E4" s="12"/>
      <c r="F4" s="12"/>
      <c r="G4" s="12"/>
      <c r="H4" s="8"/>
      <c r="J4" s="13" t="str">
        <f>IF($A$93=1,D93,IF(OR($A$93=2,$A$93=3,$A$93=4),I93,""))</f>
        <v>Νεοελληνική Γλώσσα Γενικής Παιδείας</v>
      </c>
      <c r="K4" s="14">
        <f>IF($A$93=1,G93,IF(OR($A$93=2,$A$93=3,$A$93=4),G95,""))</f>
        <v>0.09</v>
      </c>
      <c r="L4" s="15">
        <f>IF($A$93=1,H11,IF(OR($A$93=2,$A$93=3,$A$93=4),H15,""))</f>
        <v>0</v>
      </c>
      <c r="M4" s="16">
        <f>ROUND(L4*K4*1000,0)</f>
        <v>0</v>
      </c>
    </row>
    <row r="5" spans="2:13" ht="18" customHeight="1">
      <c r="B5" s="190" t="s">
        <v>38</v>
      </c>
      <c r="C5" s="191"/>
      <c r="D5" s="178"/>
      <c r="E5" s="178"/>
      <c r="F5" s="178"/>
      <c r="G5" s="178"/>
      <c r="H5" s="17"/>
      <c r="J5" s="18" t="str">
        <f>IF($A$93=1,D94,IF(OR($A$93=2,$A$93=3,$A$93=4),I94,""))</f>
        <v>Ιστορία Γενικής Παιδείας</v>
      </c>
      <c r="K5" s="19">
        <f>IF($A$93=1,G94,IF(OR($A$93=2,$A$93=3,$A$93=4),G96,""))</f>
        <v>0.04</v>
      </c>
      <c r="L5" s="15">
        <f>IF($A$93=1,H14,IF(OR($A$93=2,$A$93=3,$A$93=4),H16,""))</f>
        <v>0</v>
      </c>
      <c r="M5" s="15">
        <f>ROUND(L5*K5*1000,0)</f>
        <v>0</v>
      </c>
    </row>
    <row r="6" spans="2:13" ht="7.5" customHeight="1">
      <c r="B6" s="190"/>
      <c r="C6" s="191"/>
      <c r="D6" s="178"/>
      <c r="E6" s="178"/>
      <c r="F6" s="178"/>
      <c r="G6" s="178"/>
      <c r="H6" s="17"/>
      <c r="J6" s="179" t="s">
        <v>0</v>
      </c>
      <c r="K6" s="20"/>
      <c r="L6" s="181">
        <f>1000*(L3*K3+L4*K4+L5*K5)</f>
        <v>0</v>
      </c>
      <c r="M6" s="181">
        <f>SUM(M3:M5)</f>
        <v>0</v>
      </c>
    </row>
    <row r="7" spans="2:13" ht="11.25" customHeight="1" thickBot="1">
      <c r="B7" s="52"/>
      <c r="C7" s="50"/>
      <c r="D7" s="50"/>
      <c r="E7" s="50"/>
      <c r="F7" s="50"/>
      <c r="G7" s="50"/>
      <c r="H7" s="17"/>
      <c r="J7" s="180"/>
      <c r="K7" s="21"/>
      <c r="L7" s="182"/>
      <c r="M7" s="182"/>
    </row>
    <row r="8" spans="2:8" ht="16.5" customHeight="1" thickBot="1">
      <c r="B8" s="165" t="s">
        <v>58</v>
      </c>
      <c r="C8" s="166"/>
      <c r="D8" s="166"/>
      <c r="E8" s="166"/>
      <c r="F8" s="166"/>
      <c r="G8" s="166"/>
      <c r="H8" s="167"/>
    </row>
    <row r="9" spans="2:13" ht="16.5" customHeight="1">
      <c r="B9" s="183" t="s">
        <v>76</v>
      </c>
      <c r="C9" s="212" t="s">
        <v>2</v>
      </c>
      <c r="D9" s="213"/>
      <c r="E9" s="213"/>
      <c r="F9" s="213"/>
      <c r="G9" s="214"/>
      <c r="H9" s="176" t="s">
        <v>9</v>
      </c>
      <c r="J9" s="162" t="s">
        <v>52</v>
      </c>
      <c r="K9" s="163"/>
      <c r="L9" s="164"/>
      <c r="M9" s="22" t="s">
        <v>25</v>
      </c>
    </row>
    <row r="10" spans="2:13" ht="16.5" customHeight="1" thickBot="1">
      <c r="B10" s="119"/>
      <c r="C10" s="215"/>
      <c r="D10" s="144"/>
      <c r="E10" s="144"/>
      <c r="F10" s="144"/>
      <c r="G10" s="216"/>
      <c r="H10" s="177"/>
      <c r="J10" s="23" t="s">
        <v>49</v>
      </c>
      <c r="K10" s="24">
        <v>0.8</v>
      </c>
      <c r="L10" s="11">
        <f>IF($H$23=0,0,$H$25)</f>
        <v>0</v>
      </c>
      <c r="M10" s="11">
        <f>ROUND(L10*K10*1000,0)</f>
        <v>0</v>
      </c>
    </row>
    <row r="11" spans="2:13" ht="16.5" customHeight="1">
      <c r="B11" s="230" t="s">
        <v>10</v>
      </c>
      <c r="C11" s="220" t="str">
        <f>IF(A93=1,B93,IF(OR(A93=2,A93=3,A93=4),B97,""))</f>
        <v>Μαθηματκά</v>
      </c>
      <c r="D11" s="221"/>
      <c r="E11" s="221"/>
      <c r="F11" s="221"/>
      <c r="G11" s="222"/>
      <c r="H11" s="59"/>
      <c r="J11" s="13" t="str">
        <f>IF($A$93=1,I95,IF(OR($A$93=2,$A$93=3,$A$93=4),D95,""))</f>
        <v>Μαθηματκά Κατεύθυνσης</v>
      </c>
      <c r="K11" s="14">
        <f>IF($A$93=1,G95,IF(OR($A$93=2,$A$93=3,$A$93=4),G93,""))</f>
        <v>0.13</v>
      </c>
      <c r="L11" s="16">
        <f>IF($A$93=1,H16,IF(OR($A$93=2,$A$93=3,$A$93=4),H11,""))</f>
        <v>0</v>
      </c>
      <c r="M11" s="16">
        <f>ROUND(L11*K11*1000,0)</f>
        <v>0</v>
      </c>
    </row>
    <row r="12" spans="2:13" ht="17.25" customHeight="1">
      <c r="B12" s="183"/>
      <c r="C12" s="223" t="str">
        <f>IF(A93=1,B94,IF(OR(A93=2,A93=3,A93=4),B98,""))</f>
        <v>Φυσική</v>
      </c>
      <c r="D12" s="224"/>
      <c r="E12" s="224"/>
      <c r="F12" s="224"/>
      <c r="G12" s="225"/>
      <c r="H12" s="58"/>
      <c r="J12" s="18" t="str">
        <f>IF($A$93=1,I93,IF(OR($A$93=2,$A$93=3,$A$93=4),D96,""))</f>
        <v>Φυσική Κατεύθυνσης</v>
      </c>
      <c r="K12" s="19">
        <f>IF($A$93=1,G96,IF(OR($A$93=2,$A$93=3,$A$93=4),G94,""))</f>
        <v>0.07</v>
      </c>
      <c r="L12" s="15">
        <f>IF($A$93=1,H15,IF(OR($A$93=2,$A$93=3,$A$93=4),H12,""))</f>
        <v>0</v>
      </c>
      <c r="M12" s="15">
        <f>ROUND(L12*K12*1000,0)</f>
        <v>0</v>
      </c>
    </row>
    <row r="13" spans="2:13" ht="17.25" customHeight="1">
      <c r="B13" s="183"/>
      <c r="C13" s="209" t="str">
        <f>IF(A93=1,B95,IF(A93=2,B99,IF(A93=3,B101,IF(A93=4,B103,""))))</f>
        <v>Ανάπτυξη Εφαρμ. σε Προγρ. Περιβάλλον</v>
      </c>
      <c r="D13" s="210"/>
      <c r="E13" s="210"/>
      <c r="F13" s="210"/>
      <c r="G13" s="211"/>
      <c r="H13" s="58"/>
      <c r="J13" s="25" t="s">
        <v>0</v>
      </c>
      <c r="K13" s="26"/>
      <c r="L13" s="27">
        <f>1000*(L10*K10+L11*K11+L12*K12)</f>
        <v>0</v>
      </c>
      <c r="M13" s="27">
        <f>SUM(M10:M12)</f>
        <v>0</v>
      </c>
    </row>
    <row r="14" spans="2:8" ht="17.25" customHeight="1" thickBot="1">
      <c r="B14" s="231"/>
      <c r="C14" s="226" t="str">
        <f>IF(A93=1,B96,IF(A93=2,B100,IF(A93=3,B102,IF(A93=4,B104,""))))</f>
        <v>Αρχές Οργ. &amp; Διοίκ. Επιχ/σεων</v>
      </c>
      <c r="D14" s="227"/>
      <c r="E14" s="227"/>
      <c r="F14" s="227"/>
      <c r="G14" s="228"/>
      <c r="H14" s="60"/>
    </row>
    <row r="15" spans="2:13" ht="17.25" customHeight="1" thickBot="1">
      <c r="B15" s="66" t="s">
        <v>65</v>
      </c>
      <c r="C15" s="209" t="s">
        <v>22</v>
      </c>
      <c r="D15" s="210"/>
      <c r="E15" s="210"/>
      <c r="F15" s="210"/>
      <c r="G15" s="211"/>
      <c r="H15" s="75"/>
      <c r="J15" s="162" t="s">
        <v>53</v>
      </c>
      <c r="K15" s="163"/>
      <c r="L15" s="164"/>
      <c r="M15" s="22" t="s">
        <v>25</v>
      </c>
    </row>
    <row r="16" spans="2:17" ht="17.25" customHeight="1" thickBot="1">
      <c r="B16" s="66" t="s">
        <v>66</v>
      </c>
      <c r="C16" s="217" t="s">
        <v>18</v>
      </c>
      <c r="D16" s="218"/>
      <c r="E16" s="218"/>
      <c r="F16" s="218"/>
      <c r="G16" s="219"/>
      <c r="H16" s="61"/>
      <c r="J16" s="23" t="s">
        <v>49</v>
      </c>
      <c r="K16" s="10">
        <v>0.8</v>
      </c>
      <c r="L16" s="11">
        <f>IF($H$23=0,0,$H$25)</f>
        <v>0</v>
      </c>
      <c r="M16" s="11">
        <f>ROUND(L16*K16*1000,0)</f>
        <v>0</v>
      </c>
      <c r="O16" s="28"/>
      <c r="P16" s="29"/>
      <c r="Q16" s="30"/>
    </row>
    <row r="17" spans="2:17" ht="17.25" customHeight="1" thickBot="1">
      <c r="B17" s="33" t="s">
        <v>11</v>
      </c>
      <c r="C17" s="208" t="s">
        <v>55</v>
      </c>
      <c r="D17" s="208"/>
      <c r="E17" s="208"/>
      <c r="F17" s="208"/>
      <c r="G17" s="208"/>
      <c r="H17" s="111"/>
      <c r="J17" s="13" t="str">
        <f>IF($A$93=2,D98,IF(OR($A$93=1,$A$93=3,$A$93=4),I96,""))</f>
        <v>Βιολογία Γενικής Παιδείας</v>
      </c>
      <c r="K17" s="14">
        <f>IF($A$93=2,G93,IF(OR($A$93=1,$A$93=3,$A$93=4),G95,""))</f>
        <v>0.09</v>
      </c>
      <c r="L17" s="16">
        <f>IF($A$93=2,H14,IF(OR($A$93=1,$A$93=3,$A$93=4),H16,""))</f>
        <v>0</v>
      </c>
      <c r="M17" s="16">
        <f>ROUND(L17*K17*1000,0)</f>
        <v>0</v>
      </c>
      <c r="O17" s="28"/>
      <c r="P17" s="29"/>
      <c r="Q17" s="30"/>
    </row>
    <row r="18" spans="10:17" ht="17.25" customHeight="1">
      <c r="J18" s="18" t="str">
        <f>IF($A$93=2,D97,IF(OR($A$93=1,$A$93=3,$A$93=4),I93,""))</f>
        <v>Νεοελληνική Γλώσσα Γενικής Παιδείας</v>
      </c>
      <c r="K18" s="19">
        <f>IF($A$93=2,G94,IF(OR($A$93=1,$A$93=3,$A$93=4),G96,""))</f>
        <v>0.04</v>
      </c>
      <c r="L18" s="16">
        <f>IF($A$93=2,H13,IF(OR($A$93=1,$A$93=3,$A$93=4),H15,""))</f>
        <v>0</v>
      </c>
      <c r="M18" s="15">
        <f>ROUND(L18*K18*1000,0)</f>
        <v>0</v>
      </c>
      <c r="O18" s="28"/>
      <c r="P18" s="29"/>
      <c r="Q18" s="30"/>
    </row>
    <row r="19" spans="2:17" ht="17.25" customHeight="1">
      <c r="B19" s="151" t="s">
        <v>13</v>
      </c>
      <c r="C19" s="152"/>
      <c r="E19" s="148" t="s">
        <v>12</v>
      </c>
      <c r="F19" s="149"/>
      <c r="G19" s="150"/>
      <c r="H19" s="37">
        <f>IF($A$100,ROUND(SUM(H11:H17)/7,2),ROUND(SUM(H11:H16)/6,2))</f>
        <v>0</v>
      </c>
      <c r="J19" s="25" t="s">
        <v>0</v>
      </c>
      <c r="K19" s="26"/>
      <c r="L19" s="27">
        <f>1000*(L16*K16+L17*K17+L18*K18)</f>
        <v>0</v>
      </c>
      <c r="M19" s="27">
        <f>SUM(M16:M18)</f>
        <v>0</v>
      </c>
      <c r="O19" s="31"/>
      <c r="P19" s="29"/>
      <c r="Q19" s="32"/>
    </row>
    <row r="20" spans="2:19" ht="17.25" customHeight="1">
      <c r="B20" s="120" t="s">
        <v>77</v>
      </c>
      <c r="C20" s="121"/>
      <c r="K20" s="34"/>
      <c r="L20" s="35"/>
      <c r="S20" s="100"/>
    </row>
    <row r="21" spans="2:13" ht="16.5" customHeight="1">
      <c r="B21" s="122"/>
      <c r="C21" s="123"/>
      <c r="E21" s="199" t="s">
        <v>14</v>
      </c>
      <c r="F21" s="199"/>
      <c r="G21" s="199"/>
      <c r="H21" s="199"/>
      <c r="J21" s="162" t="s">
        <v>54</v>
      </c>
      <c r="K21" s="163"/>
      <c r="L21" s="164"/>
      <c r="M21" s="22" t="s">
        <v>25</v>
      </c>
    </row>
    <row r="22" spans="2:13" ht="16.5" customHeight="1">
      <c r="B22" s="122"/>
      <c r="C22" s="123"/>
      <c r="E22" s="203" t="s">
        <v>15</v>
      </c>
      <c r="F22" s="204"/>
      <c r="G22" s="205"/>
      <c r="H22" s="91">
        <v>0</v>
      </c>
      <c r="J22" s="23" t="s">
        <v>49</v>
      </c>
      <c r="K22" s="10">
        <v>0.8</v>
      </c>
      <c r="L22" s="11">
        <f>IF($H$23=0,0,$H$25)</f>
        <v>0</v>
      </c>
      <c r="M22" s="11">
        <f>ROUND(L22*K22*1000,0)</f>
        <v>0</v>
      </c>
    </row>
    <row r="23" spans="2:13" ht="16.5" customHeight="1">
      <c r="B23" s="122"/>
      <c r="C23" s="123"/>
      <c r="E23" s="148" t="s">
        <v>16</v>
      </c>
      <c r="F23" s="149"/>
      <c r="G23" s="206"/>
      <c r="H23" s="37">
        <f>H19</f>
        <v>0</v>
      </c>
      <c r="J23" s="13" t="str">
        <f>IF($A$93=1,I95,IF(OR($A$93=2,$A$93=3,$A$93=4),D95,""))</f>
        <v>Μαθηματκά Κατεύθυνσης</v>
      </c>
      <c r="K23" s="14">
        <f>IF($A$93=1,G95,IF(OR($A$93=2,$A$93=3,$A$93=4),G93,""))</f>
        <v>0.13</v>
      </c>
      <c r="L23" s="16">
        <f>IF($A$93=1,H16,IF(OR($A$93=2,$A$93=3,$A$93=4),H11,""))</f>
        <v>0</v>
      </c>
      <c r="M23" s="16">
        <f>ROUND(L23*K23*1000,0)</f>
        <v>0</v>
      </c>
    </row>
    <row r="24" spans="2:13" ht="16.5" customHeight="1">
      <c r="B24" s="122"/>
      <c r="C24" s="123"/>
      <c r="G24" s="107"/>
      <c r="J24" s="18" t="str">
        <f>IF($A$93=1,I93,IF(OR($A$93=2,$A$93=3,$A$93=4),D96,""))</f>
        <v>Φυσική Κατεύθυνσης</v>
      </c>
      <c r="K24" s="19">
        <f>IF($A$93=1,G96,IF(OR($A$93=2,$A$93=3,$A$93=4),G94,""))</f>
        <v>0.07</v>
      </c>
      <c r="L24" s="15">
        <f>IF($A$93=1,H15,IF(OR($A$93=2,$A$93=3,$A$93=4),H12,""))</f>
        <v>0</v>
      </c>
      <c r="M24" s="15">
        <f>ROUND(L24*K24*1000,0)</f>
        <v>0</v>
      </c>
    </row>
    <row r="25" spans="2:13" ht="16.5" customHeight="1">
      <c r="B25" s="122"/>
      <c r="C25" s="123"/>
      <c r="E25" s="148" t="s">
        <v>14</v>
      </c>
      <c r="F25" s="149"/>
      <c r="G25" s="229"/>
      <c r="H25" s="108">
        <f>IF(H22&lt;=H23,H23,ROUND((0.7*H23+0.3*H22),2))</f>
        <v>0</v>
      </c>
      <c r="J25" s="25" t="s">
        <v>0</v>
      </c>
      <c r="K25" s="26"/>
      <c r="L25" s="27">
        <f>1000*(L22*K22+L23*K23+L24*K24)</f>
        <v>0</v>
      </c>
      <c r="M25" s="27">
        <f>SUM(M22:M24)</f>
        <v>0</v>
      </c>
    </row>
    <row r="26" spans="2:3" ht="16.5" customHeight="1">
      <c r="B26" s="122"/>
      <c r="C26" s="123"/>
    </row>
    <row r="27" spans="2:13" ht="16.5" customHeight="1">
      <c r="B27" s="122"/>
      <c r="C27" s="123"/>
      <c r="E27" s="126" t="s">
        <v>59</v>
      </c>
      <c r="F27" s="127"/>
      <c r="G27" s="127"/>
      <c r="H27" s="128"/>
      <c r="J27" s="159" t="s">
        <v>50</v>
      </c>
      <c r="K27" s="160"/>
      <c r="L27" s="161"/>
      <c r="M27" s="4" t="s">
        <v>25</v>
      </c>
    </row>
    <row r="28" spans="2:13" ht="16.5" customHeight="1">
      <c r="B28" s="122"/>
      <c r="C28" s="123"/>
      <c r="E28" s="129"/>
      <c r="F28" s="130"/>
      <c r="G28" s="130"/>
      <c r="H28" s="131"/>
      <c r="J28" s="23">
        <f>IF(H17="","",IF($A$100,"Γενικός Βαθμός Πρόσβασης",""))</f>
      </c>
      <c r="K28" s="10">
        <f>IF(H17="","",IF($A$100,80%,""))</f>
      </c>
      <c r="L28" s="11">
        <f>IF(H17="","",IF($A$100,$H$25,""))</f>
      </c>
      <c r="M28" s="11">
        <f>IF(H17="","",IF($A$100,ROUND(L28*K28*1000,0),""))</f>
      </c>
    </row>
    <row r="29" spans="2:13" ht="16.5" customHeight="1">
      <c r="B29" s="124"/>
      <c r="C29" s="125"/>
      <c r="E29" s="132"/>
      <c r="F29" s="133"/>
      <c r="G29" s="133"/>
      <c r="H29" s="134"/>
      <c r="J29" s="13" t="str">
        <f>IF(AND(H17="",$A$100),"Δεν υπάρχει γραπτός στον ΑΟΘ",IF($A$100,"Αρχές Οικονομικής Θεωρίας Επιλογής","Το μάθημα ΑΟΘ δεν εξετάστηκε πανελλαδικά"))</f>
        <v>Δεν υπάρχει γραπτός στον ΑΟΘ</v>
      </c>
      <c r="K29" s="14">
        <f>IF(H17="","",IF($A$100,13%,""))</f>
      </c>
      <c r="L29" s="11">
        <f>IF(H17="","",IF($A$100,H17,""))</f>
      </c>
      <c r="M29" s="11">
        <f>IF(H17="","",IF($A$100,ROUND(L29*K29*1000,0),""))</f>
      </c>
    </row>
    <row r="30" spans="2:13" ht="16.5" customHeight="1">
      <c r="B30" s="135" t="s">
        <v>67</v>
      </c>
      <c r="C30" s="135"/>
      <c r="D30" s="50"/>
      <c r="E30" s="93"/>
      <c r="F30" s="93"/>
      <c r="G30" s="93"/>
      <c r="H30" s="93"/>
      <c r="J30" s="18">
        <f>IF(H17="","",IF($A$100,"Μαθηματικά &amp; Στατιστική Γενικής Παιδείας",""))</f>
      </c>
      <c r="K30" s="19">
        <f>IF(H17="","",IF($A$100,7%,""))</f>
      </c>
      <c r="L30" s="11">
        <f>IF(H17="","",IF($A$100,H16,""))</f>
      </c>
      <c r="M30" s="11">
        <f>IF(H17="","",IF($A$100,ROUND(L30*K30*1000,0),""))</f>
      </c>
    </row>
    <row r="31" spans="2:13" ht="16.5" customHeight="1">
      <c r="B31" s="196">
        <f>IF(H19=0,"",CONCATENATE(Q100,Q101,R101,S101,T101,U101,V101))</f>
      </c>
      <c r="C31" s="197"/>
      <c r="D31" s="197"/>
      <c r="E31" s="197"/>
      <c r="F31" s="197"/>
      <c r="G31" s="197"/>
      <c r="H31" s="198"/>
      <c r="J31" s="25" t="s">
        <v>0</v>
      </c>
      <c r="K31" s="26"/>
      <c r="L31" s="27">
        <f>IF(H17="","",IF($A$100,1000*(L28*K28+L29*K29+L30*K30),""))</f>
      </c>
      <c r="M31" s="27">
        <f>IF(H17="","",IF($A$100,SUM(M28:M30),""))</f>
      </c>
    </row>
    <row r="33" ht="16.5" customHeight="1">
      <c r="R33" s="50"/>
    </row>
    <row r="34" ht="16.5" customHeight="1">
      <c r="R34" s="110"/>
    </row>
    <row r="35" spans="2:18" ht="16.5" customHeight="1">
      <c r="B35" s="50"/>
      <c r="C35" s="50"/>
      <c r="D35" s="50"/>
      <c r="E35" s="50"/>
      <c r="F35" s="50"/>
      <c r="G35" s="50"/>
      <c r="H35" s="50"/>
      <c r="I35" s="50"/>
      <c r="R35" s="110"/>
    </row>
    <row r="36" spans="2:18" ht="16.5" customHeight="1">
      <c r="B36" s="36"/>
      <c r="C36" s="45"/>
      <c r="D36" s="45"/>
      <c r="E36" s="88"/>
      <c r="F36" s="45"/>
      <c r="G36" s="88"/>
      <c r="H36" s="45"/>
      <c r="I36" s="50"/>
      <c r="R36" s="110"/>
    </row>
    <row r="37" spans="2:18" ht="16.5" customHeight="1">
      <c r="B37" s="89"/>
      <c r="C37" s="36"/>
      <c r="D37" s="36"/>
      <c r="E37" s="36"/>
      <c r="F37" s="36"/>
      <c r="G37" s="36"/>
      <c r="H37" s="36"/>
      <c r="I37" s="50"/>
      <c r="R37" s="110"/>
    </row>
    <row r="38" spans="2:18" ht="16.5" customHeight="1">
      <c r="B38" s="50"/>
      <c r="C38" s="50"/>
      <c r="D38" s="50"/>
      <c r="E38" s="50"/>
      <c r="F38" s="50"/>
      <c r="G38" s="50"/>
      <c r="H38" s="50"/>
      <c r="I38" s="50"/>
      <c r="R38" s="110"/>
    </row>
    <row r="39" spans="2:9" ht="16.5" customHeight="1">
      <c r="B39" s="36"/>
      <c r="C39" s="90"/>
      <c r="D39" s="90"/>
      <c r="E39" s="88"/>
      <c r="F39" s="45"/>
      <c r="G39" s="88"/>
      <c r="H39" s="45"/>
      <c r="I39" s="50"/>
    </row>
    <row r="92" ht="16.5" customHeight="1" hidden="1" thickBot="1">
      <c r="B92" s="2" t="s">
        <v>45</v>
      </c>
    </row>
    <row r="93" spans="1:18" ht="16.5" customHeight="1" hidden="1">
      <c r="A93" s="1">
        <v>3</v>
      </c>
      <c r="B93" s="38" t="s">
        <v>30</v>
      </c>
      <c r="D93" s="139" t="s">
        <v>39</v>
      </c>
      <c r="E93" s="140"/>
      <c r="G93" s="39">
        <v>0.13</v>
      </c>
      <c r="I93" s="40" t="s">
        <v>46</v>
      </c>
      <c r="K93" s="3" t="s">
        <v>33</v>
      </c>
      <c r="Q93" s="51" t="s">
        <v>68</v>
      </c>
      <c r="R93" s="51" t="s">
        <v>69</v>
      </c>
    </row>
    <row r="94" spans="2:18" ht="16.5" customHeight="1" hidden="1" thickBot="1">
      <c r="B94" s="41" t="s">
        <v>31</v>
      </c>
      <c r="D94" s="136" t="s">
        <v>40</v>
      </c>
      <c r="E94" s="137"/>
      <c r="G94" s="39">
        <v>0.07</v>
      </c>
      <c r="I94" s="40" t="s">
        <v>47</v>
      </c>
      <c r="K94" s="3" t="s">
        <v>34</v>
      </c>
      <c r="Q94" s="51" t="s">
        <v>70</v>
      </c>
      <c r="R94" s="109">
        <f>M6</f>
        <v>0</v>
      </c>
    </row>
    <row r="95" spans="2:18" ht="16.5" customHeight="1" hidden="1">
      <c r="B95" s="41" t="s">
        <v>32</v>
      </c>
      <c r="D95" s="139" t="s">
        <v>41</v>
      </c>
      <c r="E95" s="140"/>
      <c r="G95" s="39">
        <v>0.09</v>
      </c>
      <c r="I95" s="40" t="s">
        <v>48</v>
      </c>
      <c r="K95" s="3" t="s">
        <v>35</v>
      </c>
      <c r="Q95" s="51" t="s">
        <v>71</v>
      </c>
      <c r="R95" s="109">
        <f>M13</f>
        <v>0</v>
      </c>
    </row>
    <row r="96" spans="2:18" ht="16.5" customHeight="1" hidden="1" thickBot="1">
      <c r="B96" s="42" t="s">
        <v>23</v>
      </c>
      <c r="D96" s="136" t="s">
        <v>42</v>
      </c>
      <c r="E96" s="137"/>
      <c r="G96" s="39">
        <v>0.04</v>
      </c>
      <c r="I96" s="40" t="s">
        <v>63</v>
      </c>
      <c r="K96" s="3" t="s">
        <v>36</v>
      </c>
      <c r="Q96" s="51" t="s">
        <v>72</v>
      </c>
      <c r="R96" s="109">
        <f>M19</f>
        <v>0</v>
      </c>
    </row>
    <row r="97" spans="2:18" ht="16.5" customHeight="1" hidden="1">
      <c r="B97" s="43" t="s">
        <v>20</v>
      </c>
      <c r="C97" s="44"/>
      <c r="D97" s="139" t="s">
        <v>27</v>
      </c>
      <c r="E97" s="140"/>
      <c r="H97" s="45"/>
      <c r="I97" s="45" t="s">
        <v>64</v>
      </c>
      <c r="K97" s="3" t="s">
        <v>37</v>
      </c>
      <c r="Q97" s="51" t="s">
        <v>73</v>
      </c>
      <c r="R97" s="109">
        <f>M25</f>
        <v>0</v>
      </c>
    </row>
    <row r="98" spans="2:18" ht="16.5" customHeight="1" hidden="1" thickBot="1">
      <c r="B98" s="46" t="s">
        <v>18</v>
      </c>
      <c r="C98" s="47"/>
      <c r="D98" s="136" t="s">
        <v>43</v>
      </c>
      <c r="E98" s="137"/>
      <c r="J98" s="48"/>
      <c r="Q98" s="51" t="s">
        <v>74</v>
      </c>
      <c r="R98" s="109">
        <f>M31</f>
      </c>
    </row>
    <row r="99" spans="2:18" ht="16.5" customHeight="1" hidden="1" thickBot="1">
      <c r="B99" s="41" t="s">
        <v>26</v>
      </c>
      <c r="C99" s="48"/>
      <c r="D99" s="156" t="s">
        <v>44</v>
      </c>
      <c r="E99" s="157"/>
      <c r="I99" s="80" t="s">
        <v>47</v>
      </c>
      <c r="J99" s="81"/>
      <c r="Q99" s="51"/>
      <c r="R99" s="51"/>
    </row>
    <row r="100" spans="1:18" ht="16.5" customHeight="1" hidden="1" thickBot="1">
      <c r="A100" s="1" t="b">
        <v>1</v>
      </c>
      <c r="B100" s="42" t="s">
        <v>19</v>
      </c>
      <c r="C100" s="49"/>
      <c r="D100" s="50"/>
      <c r="E100" s="50"/>
      <c r="I100" s="80" t="s">
        <v>17</v>
      </c>
      <c r="J100" s="81"/>
      <c r="Q100" s="195" t="str">
        <f>IF(MAX(R94,R95,R96,R97,R98)&gt;=10000,"Μπορείς να περάσεις από το","Δεν περνάς από κανένα")</f>
        <v>Δεν περνάς από κανένα</v>
      </c>
      <c r="R100" s="195"/>
    </row>
    <row r="101" spans="2:22" ht="16.5" customHeight="1" hidden="1">
      <c r="B101" s="38" t="s">
        <v>24</v>
      </c>
      <c r="C101" s="48"/>
      <c r="D101" s="45"/>
      <c r="E101" s="45"/>
      <c r="I101" s="80" t="s">
        <v>64</v>
      </c>
      <c r="J101" s="82"/>
      <c r="Q101" s="102">
        <f>IF(R94&gt;=10000,"  1ο,","")</f>
      </c>
      <c r="R101" s="102">
        <f>IF(R95&gt;=10000,"  2ο,","")</f>
      </c>
      <c r="S101" s="102">
        <f>IF(R96&gt;=10000,"  3ο,","")</f>
      </c>
      <c r="T101" s="102">
        <f>IF(R97&gt;=10000,"  4ο,","")</f>
      </c>
      <c r="U101" s="102">
        <f>IF(R98="","",IF(R98&gt;=10000,"  5ο,",""))</f>
      </c>
      <c r="V101" s="106" t="s">
        <v>75</v>
      </c>
    </row>
    <row r="102" spans="2:10" ht="16.5" customHeight="1" hidden="1" thickBot="1">
      <c r="B102" s="42" t="s">
        <v>21</v>
      </c>
      <c r="C102" s="49"/>
      <c r="D102" s="45"/>
      <c r="E102" s="45"/>
      <c r="I102" s="83" t="s">
        <v>63</v>
      </c>
      <c r="J102" s="84"/>
    </row>
    <row r="103" spans="2:5" ht="16.5" customHeight="1" hidden="1">
      <c r="B103" s="38" t="s">
        <v>28</v>
      </c>
      <c r="C103" s="48"/>
      <c r="D103" s="50"/>
      <c r="E103" s="45"/>
    </row>
    <row r="104" spans="2:5" ht="16.5" customHeight="1" hidden="1" thickBot="1">
      <c r="B104" s="42" t="s">
        <v>29</v>
      </c>
      <c r="C104" s="49"/>
      <c r="D104" s="45"/>
      <c r="E104" s="45"/>
    </row>
  </sheetData>
  <sheetProtection password="EBB3" sheet="1" objects="1" scenarios="1" selectLockedCells="1"/>
  <mergeCells count="42">
    <mergeCell ref="B2:H2"/>
    <mergeCell ref="B5:C6"/>
    <mergeCell ref="D3:G3"/>
    <mergeCell ref="M6:M7"/>
    <mergeCell ref="D5:G6"/>
    <mergeCell ref="J6:J7"/>
    <mergeCell ref="L6:L7"/>
    <mergeCell ref="J2:L2"/>
    <mergeCell ref="Q100:R100"/>
    <mergeCell ref="B31:H31"/>
    <mergeCell ref="B9:B10"/>
    <mergeCell ref="E21:H21"/>
    <mergeCell ref="J27:L27"/>
    <mergeCell ref="J9:L9"/>
    <mergeCell ref="J15:L15"/>
    <mergeCell ref="J21:L21"/>
    <mergeCell ref="B11:B14"/>
    <mergeCell ref="D99:E99"/>
    <mergeCell ref="B8:H8"/>
    <mergeCell ref="D93:E93"/>
    <mergeCell ref="D98:E98"/>
    <mergeCell ref="D94:E94"/>
    <mergeCell ref="D95:E95"/>
    <mergeCell ref="D96:E96"/>
    <mergeCell ref="D97:E97"/>
    <mergeCell ref="H9:H10"/>
    <mergeCell ref="E19:G19"/>
    <mergeCell ref="B19:C19"/>
    <mergeCell ref="B20:C29"/>
    <mergeCell ref="B30:C30"/>
    <mergeCell ref="E22:G22"/>
    <mergeCell ref="E23:G23"/>
    <mergeCell ref="E25:G25"/>
    <mergeCell ref="E27:H29"/>
    <mergeCell ref="C17:G17"/>
    <mergeCell ref="C15:G15"/>
    <mergeCell ref="C9:G10"/>
    <mergeCell ref="C16:G16"/>
    <mergeCell ref="C11:G11"/>
    <mergeCell ref="C12:G12"/>
    <mergeCell ref="C13:G13"/>
    <mergeCell ref="C14:G14"/>
  </mergeCells>
  <conditionalFormatting sqref="J5 J12 J18 J24 J30">
    <cfRule type="expression" priority="1" dxfId="0" stopIfTrue="1">
      <formula>$K5&lt;&gt;7%</formula>
    </cfRule>
  </conditionalFormatting>
  <conditionalFormatting sqref="J4">
    <cfRule type="expression" priority="2" dxfId="0" stopIfTrue="1">
      <formula>$K$4&lt;&gt;13%</formula>
    </cfRule>
  </conditionalFormatting>
  <conditionalFormatting sqref="J11">
    <cfRule type="expression" priority="3" dxfId="0" stopIfTrue="1">
      <formula>$K$11&lt;&gt;13%</formula>
    </cfRule>
  </conditionalFormatting>
  <conditionalFormatting sqref="J17">
    <cfRule type="expression" priority="4" dxfId="0" stopIfTrue="1">
      <formula>$K$17&lt;&gt;13%</formula>
    </cfRule>
  </conditionalFormatting>
  <conditionalFormatting sqref="J23">
    <cfRule type="expression" priority="5" dxfId="0" stopIfTrue="1">
      <formula>$K$23&lt;&gt;13%</formula>
    </cfRule>
  </conditionalFormatting>
  <conditionalFormatting sqref="J29">
    <cfRule type="expression" priority="6" dxfId="0" stopIfTrue="1">
      <formula>$K$29&lt;&gt;13%</formula>
    </cfRule>
  </conditionalFormatting>
  <conditionalFormatting sqref="B31:H31">
    <cfRule type="expression" priority="7" dxfId="0" stopIfTrue="1">
      <formula>$H$19=0</formula>
    </cfRule>
    <cfRule type="expression" priority="8" dxfId="1" stopIfTrue="1">
      <formula>$Q$100="Μπορείς να περάσεις από το"</formula>
    </cfRule>
    <cfRule type="expression" priority="9" dxfId="2" stopIfTrue="1">
      <formula>$Q$100="Δεν περνάς από κανένα"</formula>
    </cfRule>
  </conditionalFormatting>
  <dataValidations count="2">
    <dataValidation type="decimal" allowBlank="1" showInputMessage="1" showErrorMessage="1" errorTitle="ΠΡΟΣΟΧΗ" error="Ο βαθμός που εισάγετε πρέπει να είναι μεταξύ 0 και 20" sqref="H22">
      <formula1>0</formula1>
      <formula2>20</formula2>
    </dataValidation>
    <dataValidation type="list" allowBlank="1" showInputMessage="1" showErrorMessage="1" sqref="C39:D39 C16">
      <formula1>Γενικής</formula1>
    </dataValidation>
  </dataValidations>
  <printOptions horizontalCentered="1" verticalCentered="1"/>
  <pageMargins left="0.1968503937007874" right="0.54" top="0.5511811023622047" bottom="0.7086614173228347" header="0.5118110236220472" footer="0.5118110236220472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3ο ΕΛ ΓΙΑΝΝΙΤΣΩΝ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TAKHS</dc:creator>
  <cp:keywords/>
  <dc:description/>
  <cp:lastModifiedBy>user</cp:lastModifiedBy>
  <cp:lastPrinted>2006-04-30T12:41:51Z</cp:lastPrinted>
  <dcterms:created xsi:type="dcterms:W3CDTF">2005-03-16T21:20:25Z</dcterms:created>
  <dcterms:modified xsi:type="dcterms:W3CDTF">2006-06-05T08:18:32Z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